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Data" sheetId="1" r:id="rId4"/>
    <sheet state="visible" name="Desk Rejects" sheetId="2" r:id="rId5"/>
    <sheet state="visible" name="Sheet12" sheetId="3" r:id="rId6"/>
    <sheet state="visible" name="Backup" sheetId="4" r:id="rId7"/>
    <sheet state="visible" name="Active Submissions" sheetId="5" r:id="rId8"/>
    <sheet state="visible" name="Copyediting and Production" sheetId="6" r:id="rId9"/>
    <sheet state="visible" name="Published" sheetId="7" r:id="rId10"/>
    <sheet state="visible" name="Declined" sheetId="8" r:id="rId11"/>
  </sheets>
  <definedNames>
    <definedName name="TableEA">Backup!$A$1:$M$133</definedName>
    <definedName hidden="1" localSheetId="0" name="_xlnm._FilterDatabase">MasterData!$A$1:$M$133</definedName>
    <definedName hidden="1" localSheetId="3" name="_xlnm._FilterDatabase">Backup!$A$1:$M$133</definedName>
    <definedName hidden="1" localSheetId="3" name="Z_BBCB955D_BAEA_4399_8BC6_E4063638745A_.wvu.FilterData">Backup!$A$1:$M$133</definedName>
  </definedNames>
  <calcPr/>
  <customWorkbookViews>
    <customWorkbookView activeSheetId="0" maximized="1" windowHeight="0" windowWidth="0" guid="{BBCB955D-BAEA-4399-8BC6-E4063638745A}" name="Filter 2"/>
  </customWorkbookViews>
</workbook>
</file>

<file path=xl/sharedStrings.xml><?xml version="1.0" encoding="utf-8"?>
<sst xmlns="http://schemas.openxmlformats.org/spreadsheetml/2006/main" count="1932" uniqueCount="299">
  <si>
    <t>MS id</t>
  </si>
  <si>
    <t>Abbreviated Title</t>
  </si>
  <si>
    <t>Author/s</t>
  </si>
  <si>
    <t>Submission Type</t>
  </si>
  <si>
    <t>Submission Sub-Type</t>
  </si>
  <si>
    <t>Submission Date</t>
  </si>
  <si>
    <t>First Editor</t>
  </si>
  <si>
    <t>Second Editor</t>
  </si>
  <si>
    <t>Status</t>
  </si>
  <si>
    <t>Notes</t>
  </si>
  <si>
    <t>Follow Up Action</t>
  </si>
  <si>
    <t>Follow Up Date</t>
  </si>
  <si>
    <t>The Shapes of Dissent</t>
  </si>
  <si>
    <t>Strasser</t>
  </si>
  <si>
    <t>Thematic Collection</t>
  </si>
  <si>
    <t>Science and Dissent</t>
  </si>
  <si>
    <t>Sujatha</t>
  </si>
  <si>
    <t>Aalok</t>
  </si>
  <si>
    <t>Declined</t>
  </si>
  <si>
    <t>Creative Dissent in India</t>
  </si>
  <si>
    <t>Chebrolu, Quet</t>
  </si>
  <si>
    <t>Published</t>
  </si>
  <si>
    <t>From resistance to co-management?</t>
  </si>
  <si>
    <t>Topçu</t>
  </si>
  <si>
    <t>All knowledge counts</t>
  </si>
  <si>
    <t>Conde, Walter</t>
  </si>
  <si>
    <t>Collaborative dissent</t>
  </si>
  <si>
    <t>Kiechle</t>
  </si>
  <si>
    <t>Seed schools in Colombia</t>
  </si>
  <si>
    <t>Moore, Hernandez Vidal</t>
  </si>
  <si>
    <t>Science &amp; Dissent: Mobilizing counter-expertise</t>
  </si>
  <si>
    <t>Moore, Strasser</t>
  </si>
  <si>
    <t>Science &amp; Dissent: Interviews with community organizers</t>
  </si>
  <si>
    <t xml:space="preserve">Representing Race in Graphs: </t>
  </si>
  <si>
    <t>Arciniega</t>
  </si>
  <si>
    <t>Research Article</t>
  </si>
  <si>
    <t>Emily</t>
  </si>
  <si>
    <t>[Anonymized Title]</t>
  </si>
  <si>
    <t>[Anon. Author]</t>
  </si>
  <si>
    <t>[Anonymized]</t>
  </si>
  <si>
    <t>Review (with authors)</t>
  </si>
  <si>
    <t>Revise and Resubmit</t>
  </si>
  <si>
    <t>Potentially abandoned</t>
  </si>
  <si>
    <t>Debating as Activism</t>
  </si>
  <si>
    <t>Zhang, Li</t>
  </si>
  <si>
    <t>Noela</t>
  </si>
  <si>
    <t>Left Button Picture</t>
  </si>
  <si>
    <t>Merron, Lenggenhager</t>
  </si>
  <si>
    <t>Grant</t>
  </si>
  <si>
    <t>Period Tracking</t>
  </si>
  <si>
    <t>Ford, de Togni, Miller</t>
  </si>
  <si>
    <t>Duygu</t>
  </si>
  <si>
    <t>Accounting for Actants in Household Consumption Research</t>
  </si>
  <si>
    <t>Lytle, Schelly, Floress</t>
  </si>
  <si>
    <t>Ali</t>
  </si>
  <si>
    <t>Resubmitted as #1123</t>
  </si>
  <si>
    <t>Building Capacity for Social Learning</t>
  </si>
  <si>
    <t>Jalbert, Ball, Test</t>
  </si>
  <si>
    <t>Biopolitics and the Values Hidden in Technological Systems</t>
  </si>
  <si>
    <t>Nascimento, Bowker</t>
  </si>
  <si>
    <t>Angela</t>
  </si>
  <si>
    <t>Being developed as "Research Data" for publication on STS Infrastructures</t>
  </si>
  <si>
    <t>On algorithmic opacity and moral certainty</t>
  </si>
  <si>
    <t>Litvinski</t>
  </si>
  <si>
    <t>Troubling Access</t>
  </si>
  <si>
    <t>Malone</t>
  </si>
  <si>
    <t>Reliability via Intercomparison</t>
  </si>
  <si>
    <t>Mayernik</t>
  </si>
  <si>
    <t>Data Durabilities</t>
  </si>
  <si>
    <t>Sørensen, Kocksch</t>
  </si>
  <si>
    <t>The empowering virtues of Citizen Science</t>
  </si>
  <si>
    <t>da Schio</t>
  </si>
  <si>
    <t>Disciplining SthlmTech</t>
  </si>
  <si>
    <t>VandenBroek</t>
  </si>
  <si>
    <t>Langdon Winner’s Theory of Technological Politics</t>
  </si>
  <si>
    <t>Schraube</t>
  </si>
  <si>
    <t>Bernal Forum: Langdon Winner</t>
  </si>
  <si>
    <t xml:space="preserve">Aalok </t>
  </si>
  <si>
    <t>A "middle voice" from the South</t>
  </si>
  <si>
    <t>Suarez, Nunez</t>
  </si>
  <si>
    <t>Bernal Forum: Sharon Traweek</t>
  </si>
  <si>
    <t>Duygu, Grant</t>
  </si>
  <si>
    <t>Catographies for Feminist STS</t>
  </si>
  <si>
    <t>Subramaniam</t>
  </si>
  <si>
    <t>Working at the Edges of Institutions during their Transformations</t>
  </si>
  <si>
    <t>Harding</t>
  </si>
  <si>
    <t>"I prefer the Map"</t>
  </si>
  <si>
    <t>Traweek</t>
  </si>
  <si>
    <t>DEMOCRATIC SHAPING OF TECHNOLOGY</t>
  </si>
  <si>
    <t>Winner</t>
  </si>
  <si>
    <t>The value of the map</t>
  </si>
  <si>
    <t>Mikami</t>
  </si>
  <si>
    <t>STS as a lens to study disciplines</t>
  </si>
  <si>
    <t>Sorensen</t>
  </si>
  <si>
    <t>Epistemological Luddism</t>
  </si>
  <si>
    <t>Nordmann</t>
  </si>
  <si>
    <t>Three Decades of ‘new sociology of technology’:</t>
  </si>
  <si>
    <t>Basu</t>
  </si>
  <si>
    <t>Transnational STS</t>
  </si>
  <si>
    <t>28-12-2020</t>
  </si>
  <si>
    <t>Minor Revisions</t>
  </si>
  <si>
    <t>On track</t>
  </si>
  <si>
    <t>Minor revs asked on Jun 17</t>
  </si>
  <si>
    <t>"Exploring Techplomacy"</t>
  </si>
  <si>
    <t>Petersen Hockenhull</t>
  </si>
  <si>
    <t>Critical Engagements</t>
  </si>
  <si>
    <t>On the Boundary of Services in Japanese</t>
  </si>
  <si>
    <t>Onoda</t>
  </si>
  <si>
    <t>The unique and the universal</t>
  </si>
  <si>
    <t>Nordfalk</t>
  </si>
  <si>
    <t>Aiming at the Good Life</t>
  </si>
  <si>
    <t>Boenig-Liptsin</t>
  </si>
  <si>
    <t>Shape of Dissent</t>
  </si>
  <si>
    <t>More-than-human dynamics of the governance of inequality</t>
  </si>
  <si>
    <t>Jose A. Cañada, Satu Venäläinen</t>
  </si>
  <si>
    <t>Accepted</t>
  </si>
  <si>
    <t>Awaiting copyediting and production</t>
  </si>
  <si>
    <t>Maneuvering through a Changing Funding Terrain</t>
  </si>
  <si>
    <t>Kladakis</t>
  </si>
  <si>
    <t>Brain-Computer Interfaces</t>
  </si>
  <si>
    <t>Matthew Sample, Wren Boehlen, Sebastian Sattler, Stefanie Blain-Moraes et al</t>
  </si>
  <si>
    <t>A Critique of the ‘As-If’ Approach to Machine Ethics</t>
  </si>
  <si>
    <t>Jun Kyung You</t>
  </si>
  <si>
    <t>Langdon Winner's Legacy</t>
  </si>
  <si>
    <t>Albornoz</t>
  </si>
  <si>
    <t>Can renewable energy artifacts have a global politics?</t>
  </si>
  <si>
    <t>Raman</t>
  </si>
  <si>
    <t>No Page for Dalits</t>
  </si>
  <si>
    <t>Wesley Shrum</t>
  </si>
  <si>
    <t>Video</t>
  </si>
  <si>
    <t>Hardware Restoration (Bodies)</t>
  </si>
  <si>
    <t xml:space="preserve">Laura M Carpenter </t>
  </si>
  <si>
    <t>with author. Revisions required before sending out for review</t>
  </si>
  <si>
    <t>The Upcoming "Vaccination Problem"</t>
  </si>
  <si>
    <t>Cora Mae Olson</t>
  </si>
  <si>
    <t>STS between centers and peripheries</t>
  </si>
  <si>
    <t>Invernizzi et al</t>
  </si>
  <si>
    <t>26-03-2021</t>
  </si>
  <si>
    <t>RADIOACTIVE HEROES</t>
  </si>
  <si>
    <t xml:space="preserve">Wayne and Moore  </t>
  </si>
  <si>
    <t>MCHammer</t>
  </si>
  <si>
    <t>Earle</t>
  </si>
  <si>
    <t>Engagements</t>
  </si>
  <si>
    <t>With Authors</t>
  </si>
  <si>
    <t>Review (with us)</t>
  </si>
  <si>
    <t>Revisions expected by end of Aug 2022</t>
  </si>
  <si>
    <t>Locating NatureCultures</t>
  </si>
  <si>
    <t>Mohacsi et al</t>
  </si>
  <si>
    <t>Places/Spaces of STS</t>
  </si>
  <si>
    <t>Reduction in word count</t>
  </si>
  <si>
    <t>Attending to some issues that came up in peer review</t>
  </si>
  <si>
    <t>Awaiting Editorial Decision</t>
  </si>
  <si>
    <t>Technopolitics in a twilight civilization</t>
  </si>
  <si>
    <t>Bennett</t>
  </si>
  <si>
    <t>Accounting for actants in household consumption</t>
  </si>
  <si>
    <t>Lytle, Floress, Schelly</t>
  </si>
  <si>
    <t>Engineering Turbulence</t>
  </si>
  <si>
    <t>Chen</t>
  </si>
  <si>
    <t>Changing Debates and Shifting Lanscapes in Science Studies?</t>
  </si>
  <si>
    <t>Ramachandran et al</t>
  </si>
  <si>
    <t xml:space="preserve">Emily </t>
  </si>
  <si>
    <t>Pubic Trust, Deliberative Engagement, and Health Data Projects</t>
  </si>
  <si>
    <t>Bharti et al</t>
  </si>
  <si>
    <t>Perspectives</t>
  </si>
  <si>
    <t>Changing Materiality</t>
  </si>
  <si>
    <t>Haugland</t>
  </si>
  <si>
    <t>Social Media is the Second Ambedkar</t>
  </si>
  <si>
    <t>Kulshreshtha</t>
  </si>
  <si>
    <t>Withdrawn</t>
  </si>
  <si>
    <t>A Not-So-Short History of Deaf Technology</t>
  </si>
  <si>
    <t>Burrows</t>
  </si>
  <si>
    <t>Professors Want to Share: Preliminary Survey Results on Establishing Open Source Endowed Professorships</t>
  </si>
  <si>
    <t>Pearce et al</t>
  </si>
  <si>
    <t>Refusal in Data Ethics</t>
  </si>
  <si>
    <t>Chelsea Barabas</t>
  </si>
  <si>
    <t>Awaiting Copyediting and Production</t>
  </si>
  <si>
    <t>"High Maintenance"</t>
  </si>
  <si>
    <t>Jamie Steele</t>
  </si>
  <si>
    <t>(Self) Critical Pedagogy</t>
  </si>
  <si>
    <t>Bhadra Haines</t>
  </si>
  <si>
    <t>STS Pedagogies</t>
  </si>
  <si>
    <t>Moved to STS Pedagogies set</t>
  </si>
  <si>
    <t>Major rev required on Jun 28</t>
  </si>
  <si>
    <t>Searching for how Epistemic Power is Made</t>
  </si>
  <si>
    <t>Fortun, Kasdogan, Traweek</t>
  </si>
  <si>
    <t>Sorting things out?</t>
  </si>
  <si>
    <t>Nascimento</t>
  </si>
  <si>
    <t>Research Data</t>
  </si>
  <si>
    <t>Critical commentary that accompanies research data that we will publish on STSI</t>
  </si>
  <si>
    <t>Resubmission expected by end July 15, 2022</t>
  </si>
  <si>
    <t>Role of history in the reenchantment of brain research</t>
  </si>
  <si>
    <t>Smolka</t>
  </si>
  <si>
    <t>Maintenance and its Knowledges</t>
  </si>
  <si>
    <t>Resubmission expected by end of August</t>
  </si>
  <si>
    <t>Revise and Resbmit</t>
  </si>
  <si>
    <t>Authors haven't replied to timeline request</t>
  </si>
  <si>
    <t>Resubmission expected by end of October</t>
  </si>
  <si>
    <t>Authors haven't replied to timeline request - decision sent out on Jun 23rd</t>
  </si>
  <si>
    <t>Authors haven't replied to timeline request - decision sent out in May</t>
  </si>
  <si>
    <t>Decolonizing Making</t>
  </si>
  <si>
    <t>Riad</t>
  </si>
  <si>
    <t>Relational Refusal</t>
  </si>
  <si>
    <t>Madaio</t>
  </si>
  <si>
    <t>Digital research(ers) in the pandemic</t>
  </si>
  <si>
    <t>Davies et al</t>
  </si>
  <si>
    <t>STS and Innovation</t>
  </si>
  <si>
    <t>Irwin</t>
  </si>
  <si>
    <t>Innovation and STS</t>
  </si>
  <si>
    <t>Review</t>
  </si>
  <si>
    <t>?</t>
  </si>
  <si>
    <t>Revision submitted on May 31st</t>
  </si>
  <si>
    <t>Revision submitted on Jun 25th</t>
  </si>
  <si>
    <t>Dissolving boundaries in the policy system</t>
  </si>
  <si>
    <t>Horst</t>
  </si>
  <si>
    <t>??</t>
  </si>
  <si>
    <t>Back from authors on Jun 17</t>
  </si>
  <si>
    <t>Author does not want to follow the reviewer's minor suggestions</t>
  </si>
  <si>
    <t>Revisions expected by July 15</t>
  </si>
  <si>
    <t>Decision letter sent on Jun 12, no timeline yet</t>
  </si>
  <si>
    <t>Just back in, jul 7</t>
  </si>
  <si>
    <t>Citizen scientists as Data Controllers</t>
  </si>
  <si>
    <t>Purtova and Pierce</t>
  </si>
  <si>
    <t>Sociolinguistic and translingual practices of Argentine Astronomers</t>
  </si>
  <si>
    <t>Cespedes</t>
  </si>
  <si>
    <t>Standards and their Containers</t>
  </si>
  <si>
    <t>waiting for reviewers feedback</t>
  </si>
  <si>
    <t>Reviews are back, actionable now</t>
  </si>
  <si>
    <t>Under review, 1 submitted, many overdue</t>
  </si>
  <si>
    <t>Under review, none submitted, many overdue</t>
  </si>
  <si>
    <t>Under review, 1 submitted, many overdue, more reviewers need to be assigned now</t>
  </si>
  <si>
    <t>Three reviews in, actionable now</t>
  </si>
  <si>
    <t>Two reviews in, actionable now</t>
  </si>
  <si>
    <t>Masking (Not Masking) Up</t>
  </si>
  <si>
    <t>Bell, Grzanka, Joyce, Senier</t>
  </si>
  <si>
    <t>A Chinese precursor to the digital sovereignty debate</t>
  </si>
  <si>
    <t>Cong and Thumfart</t>
  </si>
  <si>
    <t>How to Deal with Cosmo-Ecological Perplexities</t>
  </si>
  <si>
    <t>Jensen</t>
  </si>
  <si>
    <t>The Co-Production of What?</t>
  </si>
  <si>
    <t>Li and Wang</t>
  </si>
  <si>
    <t>Minor revs, Authors will submit by end of July</t>
  </si>
  <si>
    <t>Neglected Tropical Diseases</t>
  </si>
  <si>
    <t>Ferpozzi</t>
  </si>
  <si>
    <t>Microbes and STS</t>
  </si>
  <si>
    <t>Phage Therapy in France and Belgium</t>
  </si>
  <si>
    <t>Pourraz</t>
  </si>
  <si>
    <t>Beyond Measurement?</t>
  </si>
  <si>
    <t>Garnett et al</t>
  </si>
  <si>
    <t>Leaning in and out</t>
  </si>
  <si>
    <t>Shelley-Egan and van Oudheusden</t>
  </si>
  <si>
    <t>R&amp;R decision sent out on Jul 4, no timeline yet</t>
  </si>
  <si>
    <t>1 review in, we need to find a 2nd reviewer now</t>
  </si>
  <si>
    <t>Producing Transnational STS Places/Spaces</t>
  </si>
  <si>
    <t>Kasdogan and Okune</t>
  </si>
  <si>
    <t>STS Pedagoies</t>
  </si>
  <si>
    <t>Pre-review</t>
  </si>
  <si>
    <t>Awaiting submission of full set</t>
  </si>
  <si>
    <t>No reviews received yet</t>
  </si>
  <si>
    <t>Selecting reviewers</t>
  </si>
  <si>
    <t>Green et al</t>
  </si>
  <si>
    <t>Resubmit decision (without ext review) sent on May 23. No timeline provided by authors</t>
  </si>
  <si>
    <t>Constitutional Rights of Nature and the Transformation of Science</t>
  </si>
  <si>
    <t>Barandarian and Djokic</t>
  </si>
  <si>
    <t>Discuss Emily's feedback and make editorial decision</t>
  </si>
  <si>
    <t xml:space="preserve">“We Are Our Own Virus” </t>
  </si>
  <si>
    <t>Mandel</t>
  </si>
  <si>
    <t>Hoffmann</t>
  </si>
  <si>
    <t>reject</t>
  </si>
  <si>
    <t xml:space="preserve">RANDOM submission </t>
  </si>
  <si>
    <t>RELEVANT       to journal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</si>
  <si>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</si>
  <si>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</si>
  <si>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</si>
  <si>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</si>
  <si>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</si>
  <si>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</si>
  <si>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</si>
  <si>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</si>
  <si>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Duplicate Submission</t>
  </si>
  <si>
    <t>January</t>
  </si>
  <si>
    <t>February</t>
  </si>
  <si>
    <t>March</t>
  </si>
  <si>
    <t>April</t>
  </si>
  <si>
    <t>Considering Concepts: "Expert Cues"</t>
  </si>
  <si>
    <t>Book review, Allen Buchanan, Beyond Humanity?</t>
  </si>
  <si>
    <t>Women in STI Policy</t>
  </si>
  <si>
    <t>Duplicate submission</t>
  </si>
  <si>
    <t>"Engaged Engineering" in Colombia -- needs more analytical work for us to consider it</t>
  </si>
  <si>
    <t>Smolka essay on brain research</t>
  </si>
  <si>
    <t>Algorithmic proctoring</t>
  </si>
  <si>
    <t>COVID tracking app acceptance</t>
  </si>
  <si>
    <t>.</t>
  </si>
  <si>
    <t>Revisions Required</t>
  </si>
  <si>
    <t>With authors</t>
  </si>
  <si>
    <t>Authors will submit by end of July</t>
  </si>
  <si>
    <t>Scheduled for 8.2</t>
  </si>
  <si>
    <t>Scheduled for 8.3</t>
  </si>
  <si>
    <t>Awaiting issue assignment to being copyediting</t>
  </si>
  <si>
    <t>8.3?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</si>
</sst>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&quot;-&quot;mmm&quot;-&quot;yyyy"/>
    <numFmt numFmtId="165" formatCode="mmm d"/>
    <numFmt numFmtId="166" formatCode="d-mmm-yyyy"/>
    <numFmt numFmtId="167" formatCode="m/d/yy"/>
    <numFmt numFmtId="168" formatCode="mm/dd/yy"/>
    <numFmt numFmtId="169" formatCode="mm/dd/yyyy"/>
    <numFmt numFmtId="170" formatCode="dd-mmm-yyyy"/>
    <numFmt numFmtId="171" formatCode="dd-mmmm-yyyy"/>
    <numFmt numFmtId="172" formatCode="d-mmmm-yyyy"/>
    <numFmt numFmtId="173" formatCode="d-mmm"/>
    <numFmt numFmtId="174" formatCode="d&quot;-&quot;mmm"/>
  </numFmts>
  <fonts count="7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  <font>
      <b/>
      <sz val="12.0"/>
      <color theme="1"/>
      <name val="Arial"/>
      <scheme val="minor"/>
    </font>
    <font>
      <sz val="10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DDCE8"/>
        <bgColor rgb="FFFDDCE8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BF2549"/>
        <bgColor rgb="FFBF2549"/>
      </patternFill>
    </fill>
    <fill>
      <patternFill patternType="solid">
        <fgColor rgb="FFEFEFEF"/>
        <bgColor rgb="FFEFEFEF"/>
      </patternFill>
    </fill>
  </fills>
  <borders count="7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bottom" wrapText="1"/>
    </xf>
    <xf borderId="0" fillId="2" fontId="1" numFmtId="0" xfId="0" applyAlignment="1" applyFont="1">
      <alignment horizontal="center" readingOrder="0" shrinkToFit="0" vertical="bottom" wrapText="1"/>
    </xf>
    <xf borderId="0" fillId="2" fontId="1" numFmtId="0" xfId="0" applyAlignment="1" applyFont="1">
      <alignment horizontal="center" shrinkToFit="0" wrapText="1"/>
    </xf>
    <xf borderId="0" fillId="2" fontId="2" numFmtId="0" xfId="0" applyAlignment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3" numFmtId="0" xfId="0" applyAlignment="1" applyFont="1">
      <alignment horizontal="left" readingOrder="0" shrinkToFit="0" wrapText="1"/>
    </xf>
    <xf borderId="0" fillId="0" fontId="4" numFmtId="0" xfId="0" applyAlignment="1" applyFont="1">
      <alignment horizontal="left" readingOrder="0" shrinkToFit="0" wrapText="1"/>
    </xf>
    <xf borderId="0" fillId="3" fontId="3" numFmtId="0" xfId="0" applyAlignment="1" applyFill="1" applyFont="1">
      <alignment readingOrder="0" shrinkToFit="0" wrapText="1"/>
    </xf>
    <xf borderId="0" fillId="0" fontId="3" numFmtId="0" xfId="0" applyAlignment="1" applyFont="1">
      <alignment horizontal="left" shrinkToFit="0" wrapText="1"/>
    </xf>
    <xf borderId="0" fillId="0" fontId="4" numFmtId="164" xfId="0" applyAlignment="1" applyFont="1" applyNumberFormat="1">
      <alignment horizontal="center" readingOrder="0" shrinkToFit="0" wrapText="1"/>
    </xf>
    <xf borderId="0" fillId="4" fontId="3" numFmtId="0" xfId="0" applyAlignment="1" applyFill="1" applyFont="1">
      <alignment shrinkToFit="0" wrapText="1"/>
    </xf>
    <xf borderId="0" fillId="4" fontId="3" numFmtId="0" xfId="0" applyAlignment="1" applyFont="1">
      <alignment readingOrder="0" shrinkToFit="0" wrapText="1"/>
    </xf>
    <xf borderId="0" fillId="5" fontId="3" numFmtId="0" xfId="0" applyAlignment="1" applyFill="1" applyFont="1">
      <alignment readingOrder="0" shrinkToFit="0" wrapText="1"/>
    </xf>
    <xf borderId="0" fillId="5" fontId="3" numFmtId="0" xfId="0" applyAlignment="1" applyFont="1">
      <alignment shrinkToFit="0" wrapText="1"/>
    </xf>
    <xf borderId="0" fillId="6" fontId="3" numFmtId="0" xfId="0" applyAlignment="1" applyFill="1" applyFont="1">
      <alignment readingOrder="0" shrinkToFit="0" wrapText="1"/>
    </xf>
    <xf borderId="0" fillId="0" fontId="3" numFmtId="164" xfId="0" applyAlignment="1" applyFont="1" applyNumberFormat="1">
      <alignment horizontal="center" readingOrder="0" shrinkToFit="0" wrapText="1"/>
    </xf>
    <xf borderId="0" fillId="7" fontId="3" numFmtId="0" xfId="0" applyAlignment="1" applyFill="1" applyFont="1">
      <alignment readingOrder="0" shrinkToFit="0" wrapText="1"/>
    </xf>
    <xf borderId="0" fillId="7" fontId="3" numFmtId="0" xfId="0" applyAlignment="1" applyFont="1">
      <alignment horizontal="left" readingOrder="0" shrinkToFit="0" wrapText="1"/>
    </xf>
    <xf borderId="0" fillId="7" fontId="4" numFmtId="0" xfId="0" applyAlignment="1" applyFont="1">
      <alignment horizontal="left" readingOrder="0" shrinkToFit="0" wrapText="1"/>
    </xf>
    <xf borderId="0" fillId="7" fontId="3" numFmtId="164" xfId="0" applyAlignment="1" applyFont="1" applyNumberFormat="1">
      <alignment horizontal="center" readingOrder="0" shrinkToFit="0" wrapText="1"/>
    </xf>
    <xf borderId="0" fillId="4" fontId="3" numFmtId="164" xfId="0" applyAlignment="1" applyFont="1" applyNumberFormat="1">
      <alignment horizontal="center" shrinkToFit="0" wrapText="1"/>
    </xf>
    <xf borderId="0" fillId="7" fontId="3" numFmtId="0" xfId="0" applyAlignment="1" applyFont="1">
      <alignment shrinkToFit="0" wrapText="1"/>
    </xf>
    <xf borderId="0" fillId="7" fontId="3" numFmtId="164" xfId="0" applyAlignment="1" applyFont="1" applyNumberFormat="1">
      <alignment horizontal="center" shrinkToFit="0" wrapText="1"/>
    </xf>
    <xf borderId="0" fillId="4" fontId="3" numFmtId="0" xfId="0" applyAlignment="1" applyFont="1">
      <alignment horizontal="left" readingOrder="0" shrinkToFit="0" wrapText="1"/>
    </xf>
    <xf borderId="0" fillId="8" fontId="3" numFmtId="0" xfId="0" applyAlignment="1" applyFill="1" applyFont="1">
      <alignment readingOrder="0" shrinkToFit="0" wrapText="1"/>
    </xf>
    <xf borderId="0" fillId="4" fontId="3" numFmtId="164" xfId="0" applyAlignment="1" applyFont="1" applyNumberFormat="1">
      <alignment horizontal="center" readingOrder="0" shrinkToFit="0" wrapText="1"/>
    </xf>
    <xf borderId="0" fillId="4" fontId="3" numFmtId="165" xfId="0" applyAlignment="1" applyFont="1" applyNumberFormat="1">
      <alignment readingOrder="0" shrinkToFit="0" wrapText="1"/>
    </xf>
    <xf borderId="0" fillId="7" fontId="3" numFmtId="0" xfId="0" applyAlignment="1" applyFont="1">
      <alignment horizontal="left" readingOrder="0" shrinkToFit="0" vertical="center" wrapText="1"/>
    </xf>
    <xf borderId="0" fillId="7" fontId="4" numFmtId="0" xfId="0" applyAlignment="1" applyFont="1">
      <alignment horizontal="center" readingOrder="0" shrinkToFit="0" wrapText="1"/>
    </xf>
    <xf borderId="0" fillId="4" fontId="3" numFmtId="0" xfId="0" applyAlignment="1" applyFont="1">
      <alignment horizontal="left" readingOrder="0" shrinkToFit="0" vertical="center" wrapText="1"/>
    </xf>
    <xf borderId="0" fillId="4" fontId="4" numFmtId="0" xfId="0" applyAlignment="1" applyFont="1">
      <alignment horizontal="center" readingOrder="0" shrinkToFit="0" wrapText="1"/>
    </xf>
    <xf borderId="0" fillId="7" fontId="3" numFmtId="165" xfId="0" applyAlignment="1" applyFont="1" applyNumberFormat="1">
      <alignment readingOrder="0" shrinkToFit="0" wrapText="1"/>
    </xf>
    <xf borderId="0" fillId="4" fontId="4" numFmtId="0" xfId="0" applyAlignment="1" applyFont="1">
      <alignment horizontal="left" readingOrder="0" shrinkToFit="0" wrapText="1"/>
    </xf>
    <xf borderId="0" fillId="4" fontId="3" numFmtId="0" xfId="0" applyAlignment="1" applyFont="1">
      <alignment shrinkToFit="0" wrapText="1"/>
    </xf>
    <xf borderId="0" fillId="7" fontId="3" numFmtId="0" xfId="0" applyAlignment="1" applyFont="1">
      <alignment shrinkToFit="0" wrapText="1"/>
    </xf>
    <xf borderId="0" fillId="4" fontId="3" numFmtId="166" xfId="0" applyAlignment="1" applyFont="1" applyNumberFormat="1">
      <alignment readingOrder="0" shrinkToFit="0" wrapText="1"/>
    </xf>
    <xf borderId="0" fillId="4" fontId="3" numFmtId="167" xfId="0" applyAlignment="1" applyFont="1" applyNumberFormat="1">
      <alignment readingOrder="0" shrinkToFit="0" wrapText="1"/>
    </xf>
    <xf borderId="0" fillId="4" fontId="3" numFmtId="164" xfId="0" applyAlignment="1" applyFont="1" applyNumberFormat="1">
      <alignment readingOrder="0" shrinkToFit="0" wrapText="1"/>
    </xf>
    <xf borderId="0" fillId="7" fontId="3" numFmtId="164" xfId="0" applyAlignment="1" applyFont="1" applyNumberFormat="1">
      <alignment readingOrder="0" shrinkToFit="0" wrapText="1"/>
    </xf>
    <xf borderId="0" fillId="7" fontId="3" numFmtId="167" xfId="0" applyAlignment="1" applyFont="1" applyNumberFormat="1">
      <alignment readingOrder="0" shrinkToFit="0" wrapText="1"/>
    </xf>
    <xf borderId="0" fillId="4" fontId="3" numFmtId="168" xfId="0" applyAlignment="1" applyFont="1" applyNumberFormat="1">
      <alignment readingOrder="0" shrinkToFit="0" wrapText="1"/>
    </xf>
    <xf borderId="0" fillId="4" fontId="3" numFmtId="169" xfId="0" applyAlignment="1" applyFont="1" applyNumberFormat="1">
      <alignment readingOrder="0" shrinkToFit="0" wrapText="1"/>
    </xf>
    <xf borderId="0" fillId="7" fontId="3" numFmtId="166" xfId="0" applyAlignment="1" applyFont="1" applyNumberFormat="1">
      <alignment horizontal="center" readingOrder="0" shrinkToFit="0" wrapText="1"/>
    </xf>
    <xf borderId="0" fillId="4" fontId="3" numFmtId="166" xfId="0" applyAlignment="1" applyFont="1" applyNumberFormat="1">
      <alignment horizontal="center" readingOrder="0" shrinkToFit="0" wrapText="1"/>
    </xf>
    <xf borderId="0" fillId="7" fontId="3" numFmtId="0" xfId="0" applyAlignment="1" applyFont="1">
      <alignment horizontal="center" readingOrder="0" shrinkToFit="0" wrapText="1"/>
    </xf>
    <xf borderId="0" fillId="4" fontId="3" numFmtId="0" xfId="0" applyAlignment="1" applyFont="1">
      <alignment horizontal="left" readingOrder="0" shrinkToFit="0" wrapText="1"/>
    </xf>
    <xf borderId="0" fillId="7" fontId="3" numFmtId="0" xfId="0" applyAlignment="1" applyFont="1">
      <alignment horizontal="left" readingOrder="0" shrinkToFit="0" wrapText="1"/>
    </xf>
    <xf borderId="0" fillId="4" fontId="3" numFmtId="170" xfId="0" applyAlignment="1" applyFont="1" applyNumberFormat="1">
      <alignment horizontal="center" readingOrder="0" shrinkToFit="0" wrapText="1"/>
    </xf>
    <xf borderId="0" fillId="4" fontId="3" numFmtId="0" xfId="0" applyAlignment="1" applyFont="1">
      <alignment readingOrder="0" shrinkToFit="0" wrapText="1"/>
    </xf>
    <xf borderId="0" fillId="4" fontId="3" numFmtId="171" xfId="0" applyAlignment="1" applyFont="1" applyNumberFormat="1">
      <alignment horizontal="center" readingOrder="0" shrinkToFit="0" wrapText="1"/>
    </xf>
    <xf borderId="0" fillId="7" fontId="3" numFmtId="0" xfId="0" applyAlignment="1" applyFont="1">
      <alignment readingOrder="0" shrinkToFit="0" wrapText="1"/>
    </xf>
    <xf borderId="0" fillId="7" fontId="3" numFmtId="171" xfId="0" applyAlignment="1" applyFont="1" applyNumberFormat="1">
      <alignment horizontal="center" readingOrder="0" shrinkToFit="0" wrapText="1"/>
    </xf>
    <xf borderId="0" fillId="7" fontId="3" numFmtId="172" xfId="0" applyAlignment="1" applyFont="1" applyNumberFormat="1">
      <alignment horizontal="center" readingOrder="0" shrinkToFit="0" wrapText="1"/>
    </xf>
    <xf borderId="0" fillId="4" fontId="3" numFmtId="172" xfId="0" applyAlignment="1" applyFont="1" applyNumberFormat="1">
      <alignment horizontal="center" readingOrder="0" shrinkToFit="0" wrapText="1"/>
    </xf>
    <xf borderId="0" fillId="7" fontId="3" numFmtId="170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/>
    </xf>
    <xf borderId="1" fillId="9" fontId="1" numFmtId="0" xfId="0" applyAlignment="1" applyBorder="1" applyFill="1" applyFont="1">
      <alignment horizontal="center" readingOrder="0" shrinkToFit="0" vertical="bottom" wrapText="1"/>
    </xf>
    <xf borderId="2" fillId="9" fontId="1" numFmtId="0" xfId="0" applyAlignment="1" applyBorder="1" applyFont="1">
      <alignment horizontal="center" readingOrder="0" shrinkToFit="0" wrapText="1"/>
    </xf>
    <xf borderId="0" fillId="9" fontId="2" numFmtId="0" xfId="0" applyAlignment="1" applyFont="1">
      <alignment horizontal="center" readingOrder="0" shrinkToFit="0" wrapText="1"/>
    </xf>
    <xf borderId="0" fillId="9" fontId="2" numFmtId="0" xfId="0" applyAlignment="1" applyFont="1">
      <alignment horizontal="center" readingOrder="0"/>
    </xf>
    <xf borderId="0" fillId="9" fontId="3" numFmtId="0" xfId="0" applyFont="1"/>
    <xf borderId="3" fillId="4" fontId="5" numFmtId="0" xfId="0" applyAlignment="1" applyBorder="1" applyFont="1">
      <alignment horizontal="center" readingOrder="0" shrinkToFit="0" wrapText="1"/>
    </xf>
    <xf borderId="0" fillId="4" fontId="3" numFmtId="0" xfId="0" applyFont="1"/>
    <xf borderId="0" fillId="10" fontId="3" numFmtId="0" xfId="0" applyAlignment="1" applyFill="1" applyFont="1">
      <alignment shrinkToFit="0" wrapText="1"/>
    </xf>
    <xf borderId="4" fillId="10" fontId="3" numFmtId="0" xfId="0" applyAlignment="1" applyBorder="1" applyFont="1">
      <alignment readingOrder="0" shrinkToFit="0" wrapText="1"/>
    </xf>
    <xf borderId="0" fillId="10" fontId="3" numFmtId="0" xfId="0" applyAlignment="1" applyFont="1">
      <alignment horizontal="center" readingOrder="0" shrinkToFit="0" vertical="center" wrapText="1"/>
    </xf>
    <xf borderId="0" fillId="10" fontId="3" numFmtId="0" xfId="0" applyAlignment="1" applyFont="1">
      <alignment readingOrder="0" shrinkToFit="0" wrapText="1"/>
    </xf>
    <xf borderId="0" fillId="10" fontId="3" numFmtId="0" xfId="0" applyFont="1"/>
    <xf borderId="4" fillId="4" fontId="3" numFmtId="0" xfId="0" applyAlignment="1" applyBorder="1" applyFont="1">
      <alignment readingOrder="0" shrinkToFit="0" wrapText="1"/>
    </xf>
    <xf borderId="0" fillId="10" fontId="3" numFmtId="0" xfId="0" applyAlignment="1" applyFont="1">
      <alignment readingOrder="0"/>
    </xf>
    <xf borderId="4" fillId="10" fontId="3" numFmtId="0" xfId="0" applyBorder="1" applyFont="1"/>
    <xf borderId="0" fillId="4" fontId="3" numFmtId="0" xfId="0" applyAlignment="1" applyFont="1">
      <alignment readingOrder="0"/>
    </xf>
    <xf borderId="4" fillId="4" fontId="3" numFmtId="0" xfId="0" applyBorder="1" applyFont="1"/>
    <xf borderId="4" fillId="10" fontId="3" numFmtId="173" xfId="0" applyAlignment="1" applyBorder="1" applyFont="1" applyNumberFormat="1">
      <alignment readingOrder="0"/>
    </xf>
    <xf borderId="0" fillId="10" fontId="3" numFmtId="0" xfId="0" applyAlignment="1" applyFont="1">
      <alignment horizontal="center" readingOrder="0" vertical="center"/>
    </xf>
    <xf borderId="4" fillId="4" fontId="3" numFmtId="173" xfId="0" applyAlignment="1" applyBorder="1" applyFont="1" applyNumberFormat="1">
      <alignment readingOrder="0"/>
    </xf>
    <xf borderId="4" fillId="4" fontId="3" numFmtId="174" xfId="0" applyBorder="1" applyFont="1" applyNumberFormat="1"/>
    <xf borderId="4" fillId="10" fontId="3" numFmtId="173" xfId="0" applyBorder="1" applyFont="1" applyNumberFormat="1"/>
    <xf borderId="4" fillId="4" fontId="3" numFmtId="173" xfId="0" applyBorder="1" applyFont="1" applyNumberFormat="1"/>
    <xf borderId="0" fillId="4" fontId="3" numFmtId="0" xfId="0" applyAlignment="1" applyFont="1">
      <alignment horizontal="center" readingOrder="0" vertical="center"/>
    </xf>
    <xf borderId="4" fillId="4" fontId="3" numFmtId="0" xfId="0" applyAlignment="1" applyBorder="1" applyFont="1">
      <alignment readingOrder="0"/>
    </xf>
    <xf borderId="4" fillId="10" fontId="3" numFmtId="0" xfId="0" applyAlignment="1" applyBorder="1" applyFont="1">
      <alignment readingOrder="0"/>
    </xf>
    <xf borderId="0" fillId="9" fontId="5" numFmtId="0" xfId="0" applyAlignment="1" applyFont="1">
      <alignment horizontal="center" readingOrder="0"/>
    </xf>
    <xf borderId="0" fillId="4" fontId="3" numFmtId="0" xfId="0" applyAlignment="1" applyFont="1">
      <alignment horizontal="center" readingOrder="0" shrinkToFit="0" vertical="center" wrapText="1"/>
    </xf>
    <xf borderId="5" fillId="10" fontId="3" numFmtId="0" xfId="0" applyAlignment="1" applyBorder="1" applyFont="1">
      <alignment readingOrder="0"/>
    </xf>
    <xf borderId="6" fillId="10" fontId="3" numFmtId="0" xfId="0" applyBorder="1" applyFont="1"/>
    <xf borderId="0" fillId="5" fontId="1" numFmtId="0" xfId="0" applyAlignment="1" applyFont="1">
      <alignment horizontal="center" shrinkToFit="0" vertical="bottom" wrapText="1"/>
    </xf>
    <xf borderId="0" fillId="5" fontId="1" numFmtId="0" xfId="0" applyAlignment="1" applyFont="1">
      <alignment horizontal="center" readingOrder="0" shrinkToFit="0" vertical="bottom" wrapText="1"/>
    </xf>
    <xf borderId="0" fillId="5" fontId="1" numFmtId="0" xfId="0" applyAlignment="1" applyFont="1">
      <alignment horizontal="center" shrinkToFit="0" wrapText="1"/>
    </xf>
    <xf borderId="0" fillId="5" fontId="2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shrinkToFit="0" wrapText="1"/>
    </xf>
    <xf borderId="0" fillId="0" fontId="3" numFmtId="166" xfId="0" applyAlignment="1" applyFont="1" applyNumberFormat="1">
      <alignment shrinkToFit="0" wrapText="1"/>
    </xf>
    <xf borderId="0" fillId="0" fontId="3" numFmtId="170" xfId="0" applyAlignment="1" applyFont="1" applyNumberFormat="1">
      <alignment shrinkToFit="0" wrapText="1"/>
    </xf>
    <xf borderId="0" fillId="0" fontId="3" numFmtId="171" xfId="0" applyAlignment="1" applyFont="1" applyNumberFormat="1">
      <alignment shrinkToFit="0" wrapText="1"/>
    </xf>
    <xf borderId="0" fillId="0" fontId="3" numFmtId="172" xfId="0" applyAlignment="1" applyFont="1" applyNumberFormat="1">
      <alignment shrinkToFit="0" wrapText="1"/>
    </xf>
    <xf borderId="0" fillId="4" fontId="0" numFmtId="0" xfId="0" applyAlignment="1" applyFont="1">
      <alignment shrinkToFit="0" wrapText="1"/>
    </xf>
    <xf borderId="0" fillId="4" fontId="0" numFmtId="164" xfId="0" applyAlignment="1" applyFont="1" applyNumberFormat="1">
      <alignment shrinkToFit="0" wrapText="1"/>
    </xf>
    <xf borderId="0" fillId="4" fontId="0" numFmtId="0" xfId="0" applyAlignment="1" applyFont="1">
      <alignment readingOrder="0" shrinkToFit="0" wrapText="1"/>
    </xf>
    <xf borderId="0" fillId="0" fontId="6" numFmtId="0" xfId="0" applyFont="1"/>
  </cellXfs>
  <cellStyles count="1">
    <cellStyle xfId="0" name="Normal" builtinId="0"/>
  </cellStyles>
  <dxfs count="7">
    <dxf>
      <font/>
      <fill>
        <patternFill patternType="solid">
          <fgColor rgb="FFB7B7B7"/>
          <bgColor rgb="FFB7B7B7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6.38"/>
    <col customWidth="1" min="2" max="2" width="19.75"/>
    <col customWidth="1" min="3" max="3" width="15.38"/>
    <col customWidth="1" min="4" max="4" width="13.75"/>
    <col customWidth="1" min="5" max="5" width="10.63"/>
    <col customWidth="1" min="6" max="6" width="14.0"/>
    <col customWidth="1" min="7" max="8" width="10.88"/>
    <col customWidth="1" min="9" max="9" width="11.88"/>
    <col customWidth="1" min="10" max="10" width="19.38"/>
    <col customWidth="1" min="11" max="11" width="18.75"/>
    <col customWidth="1" min="12" max="12" width="17.38"/>
    <col customWidth="1" min="13" max="13" width="15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hidden="1">
      <c r="A2" s="5">
        <v>467.0</v>
      </c>
      <c r="B2" s="6" t="s">
        <v>12</v>
      </c>
      <c r="C2" s="5" t="s">
        <v>13</v>
      </c>
      <c r="D2" s="7" t="s">
        <v>14</v>
      </c>
      <c r="E2" s="7"/>
      <c r="F2" s="8" t="s">
        <v>15</v>
      </c>
      <c r="G2" s="9">
        <v>43956.0</v>
      </c>
      <c r="H2" s="7" t="s">
        <v>16</v>
      </c>
      <c r="I2" s="7" t="s">
        <v>17</v>
      </c>
      <c r="J2" s="6" t="s">
        <v>18</v>
      </c>
      <c r="K2" s="10"/>
      <c r="L2" s="10"/>
      <c r="M2" s="10"/>
    </row>
    <row r="3" hidden="1">
      <c r="A3" s="5">
        <v>471.0</v>
      </c>
      <c r="B3" s="5" t="s">
        <v>19</v>
      </c>
      <c r="C3" s="5" t="s">
        <v>20</v>
      </c>
      <c r="D3" s="7" t="s">
        <v>14</v>
      </c>
      <c r="E3" s="7"/>
      <c r="F3" s="8" t="s">
        <v>15</v>
      </c>
      <c r="G3" s="9">
        <v>43956.0</v>
      </c>
      <c r="H3" s="7" t="s">
        <v>16</v>
      </c>
      <c r="I3" s="7" t="s">
        <v>17</v>
      </c>
      <c r="J3" s="6" t="s">
        <v>21</v>
      </c>
      <c r="K3" s="10">
        <v>8.1</v>
      </c>
      <c r="L3" s="10"/>
      <c r="M3" s="10"/>
    </row>
    <row r="4" hidden="1">
      <c r="A4" s="5">
        <v>473.0</v>
      </c>
      <c r="B4" s="5" t="s">
        <v>22</v>
      </c>
      <c r="C4" s="5" t="s">
        <v>23</v>
      </c>
      <c r="D4" s="7" t="s">
        <v>14</v>
      </c>
      <c r="E4" s="7"/>
      <c r="F4" s="8" t="s">
        <v>15</v>
      </c>
      <c r="G4" s="9">
        <v>43956.0</v>
      </c>
      <c r="H4" s="7" t="s">
        <v>16</v>
      </c>
      <c r="I4" s="7" t="s">
        <v>17</v>
      </c>
      <c r="J4" s="6" t="s">
        <v>21</v>
      </c>
      <c r="K4" s="10">
        <v>8.1</v>
      </c>
      <c r="L4" s="10"/>
      <c r="M4" s="10"/>
    </row>
    <row r="5" hidden="1">
      <c r="A5" s="5">
        <v>479.0</v>
      </c>
      <c r="B5" s="6" t="s">
        <v>24</v>
      </c>
      <c r="C5" s="5" t="s">
        <v>25</v>
      </c>
      <c r="D5" s="7" t="s">
        <v>14</v>
      </c>
      <c r="E5" s="7"/>
      <c r="F5" s="8" t="s">
        <v>15</v>
      </c>
      <c r="G5" s="9">
        <v>43957.0</v>
      </c>
      <c r="H5" s="7" t="s">
        <v>16</v>
      </c>
      <c r="I5" s="7" t="s">
        <v>17</v>
      </c>
      <c r="J5" s="6" t="s">
        <v>21</v>
      </c>
      <c r="K5" s="10">
        <v>8.1</v>
      </c>
      <c r="L5" s="10"/>
      <c r="M5" s="10"/>
    </row>
    <row r="6" hidden="1">
      <c r="A6" s="5">
        <v>481.0</v>
      </c>
      <c r="B6" s="6" t="s">
        <v>26</v>
      </c>
      <c r="C6" s="5" t="s">
        <v>27</v>
      </c>
      <c r="D6" s="7" t="s">
        <v>14</v>
      </c>
      <c r="E6" s="7"/>
      <c r="F6" s="8" t="s">
        <v>15</v>
      </c>
      <c r="G6" s="9">
        <v>43957.0</v>
      </c>
      <c r="H6" s="7" t="s">
        <v>16</v>
      </c>
      <c r="I6" s="7" t="s">
        <v>17</v>
      </c>
      <c r="J6" s="6" t="s">
        <v>21</v>
      </c>
      <c r="K6" s="10">
        <v>8.1</v>
      </c>
      <c r="L6" s="10"/>
      <c r="M6" s="10"/>
    </row>
    <row r="7" hidden="1">
      <c r="A7" s="5">
        <v>487.0</v>
      </c>
      <c r="B7" s="6" t="s">
        <v>28</v>
      </c>
      <c r="C7" s="5" t="s">
        <v>29</v>
      </c>
      <c r="D7" s="7" t="s">
        <v>14</v>
      </c>
      <c r="E7" s="7"/>
      <c r="F7" s="8" t="s">
        <v>15</v>
      </c>
      <c r="G7" s="9">
        <v>43959.0</v>
      </c>
      <c r="H7" s="7" t="s">
        <v>16</v>
      </c>
      <c r="I7" s="7" t="s">
        <v>17</v>
      </c>
      <c r="J7" s="6" t="s">
        <v>21</v>
      </c>
      <c r="K7" s="10">
        <v>8.1</v>
      </c>
      <c r="L7" s="10"/>
      <c r="M7" s="10"/>
    </row>
    <row r="8" hidden="1">
      <c r="A8" s="5">
        <v>489.0</v>
      </c>
      <c r="B8" s="6" t="s">
        <v>30</v>
      </c>
      <c r="C8" s="5" t="s">
        <v>31</v>
      </c>
      <c r="D8" s="7" t="s">
        <v>14</v>
      </c>
      <c r="E8" s="7"/>
      <c r="F8" s="8" t="s">
        <v>15</v>
      </c>
      <c r="G8" s="9">
        <v>43959.0</v>
      </c>
      <c r="H8" s="7" t="s">
        <v>16</v>
      </c>
      <c r="I8" s="7" t="s">
        <v>17</v>
      </c>
      <c r="J8" s="6" t="s">
        <v>21</v>
      </c>
      <c r="K8" s="10">
        <v>8.1</v>
      </c>
      <c r="L8" s="10"/>
      <c r="M8" s="10"/>
    </row>
    <row r="9" hidden="1">
      <c r="A9" s="5">
        <v>491.0</v>
      </c>
      <c r="B9" s="6" t="s">
        <v>32</v>
      </c>
      <c r="C9" s="5" t="s">
        <v>31</v>
      </c>
      <c r="D9" s="7" t="s">
        <v>14</v>
      </c>
      <c r="E9" s="7"/>
      <c r="F9" s="8" t="s">
        <v>15</v>
      </c>
      <c r="G9" s="9">
        <v>43959.0</v>
      </c>
      <c r="H9" s="7" t="s">
        <v>16</v>
      </c>
      <c r="I9" s="7" t="s">
        <v>17</v>
      </c>
      <c r="J9" s="6" t="s">
        <v>18</v>
      </c>
      <c r="K9" s="10"/>
      <c r="L9" s="10"/>
      <c r="M9" s="10"/>
    </row>
    <row r="10" hidden="1">
      <c r="A10" s="5">
        <v>565.0</v>
      </c>
      <c r="B10" s="5" t="s">
        <v>33</v>
      </c>
      <c r="C10" s="5" t="s">
        <v>34</v>
      </c>
      <c r="D10" s="5" t="s">
        <v>35</v>
      </c>
      <c r="E10" s="5"/>
      <c r="F10" s="5"/>
      <c r="G10" s="9">
        <v>44036.0</v>
      </c>
      <c r="H10" s="6" t="s">
        <v>36</v>
      </c>
      <c r="I10" s="6" t="s">
        <v>17</v>
      </c>
      <c r="J10" s="11" t="s">
        <v>21</v>
      </c>
      <c r="K10" s="11">
        <v>7.1</v>
      </c>
      <c r="L10" s="11"/>
      <c r="M10" s="11"/>
    </row>
    <row r="11">
      <c r="A11" s="5">
        <v>577.0</v>
      </c>
      <c r="B11" s="6" t="s">
        <v>37</v>
      </c>
      <c r="C11" s="6" t="s">
        <v>38</v>
      </c>
      <c r="D11" s="5" t="s">
        <v>35</v>
      </c>
      <c r="E11" s="5"/>
      <c r="F11" s="5"/>
      <c r="G11" s="9">
        <v>44047.0</v>
      </c>
      <c r="H11" s="6" t="s">
        <v>39</v>
      </c>
      <c r="I11" s="6" t="s">
        <v>39</v>
      </c>
      <c r="J11" s="12" t="s">
        <v>40</v>
      </c>
      <c r="K11" s="6" t="s">
        <v>41</v>
      </c>
      <c r="L11" s="6" t="s">
        <v>42</v>
      </c>
      <c r="M11" s="6"/>
    </row>
    <row r="12">
      <c r="A12" s="5">
        <v>627.0</v>
      </c>
      <c r="B12" s="6" t="s">
        <v>37</v>
      </c>
      <c r="C12" s="6" t="s">
        <v>38</v>
      </c>
      <c r="D12" s="5" t="s">
        <v>35</v>
      </c>
      <c r="E12" s="5"/>
      <c r="F12" s="5"/>
      <c r="G12" s="9">
        <v>44067.0</v>
      </c>
      <c r="H12" s="6" t="s">
        <v>39</v>
      </c>
      <c r="I12" s="6" t="s">
        <v>39</v>
      </c>
      <c r="J12" s="12" t="s">
        <v>40</v>
      </c>
      <c r="K12" s="6" t="s">
        <v>41</v>
      </c>
      <c r="L12" s="6" t="s">
        <v>42</v>
      </c>
      <c r="M12" s="6"/>
    </row>
    <row r="13" hidden="1">
      <c r="A13" s="5">
        <v>647.0</v>
      </c>
      <c r="B13" s="6" t="s">
        <v>43</v>
      </c>
      <c r="C13" s="5" t="s">
        <v>44</v>
      </c>
      <c r="D13" s="5" t="s">
        <v>35</v>
      </c>
      <c r="E13" s="5"/>
      <c r="F13" s="5"/>
      <c r="G13" s="9">
        <v>44073.0</v>
      </c>
      <c r="H13" s="5" t="s">
        <v>36</v>
      </c>
      <c r="I13" s="5" t="s">
        <v>45</v>
      </c>
      <c r="J13" s="6" t="s">
        <v>18</v>
      </c>
      <c r="K13" s="13"/>
      <c r="L13" s="13"/>
      <c r="M13" s="13"/>
    </row>
    <row r="14" hidden="1">
      <c r="A14" s="5">
        <v>653.0</v>
      </c>
      <c r="B14" s="5" t="s">
        <v>46</v>
      </c>
      <c r="C14" s="5" t="s">
        <v>47</v>
      </c>
      <c r="D14" s="5" t="s">
        <v>35</v>
      </c>
      <c r="E14" s="5"/>
      <c r="F14" s="5"/>
      <c r="G14" s="9">
        <v>44075.0</v>
      </c>
      <c r="H14" s="5" t="s">
        <v>48</v>
      </c>
      <c r="I14" s="5" t="s">
        <v>16</v>
      </c>
      <c r="J14" s="6" t="s">
        <v>21</v>
      </c>
      <c r="K14" s="11">
        <v>7.1</v>
      </c>
      <c r="L14" s="11"/>
      <c r="M14" s="11"/>
    </row>
    <row r="15" hidden="1">
      <c r="A15" s="5">
        <v>655.0</v>
      </c>
      <c r="B15" s="5" t="s">
        <v>49</v>
      </c>
      <c r="C15" s="5" t="s">
        <v>50</v>
      </c>
      <c r="D15" s="5" t="s">
        <v>35</v>
      </c>
      <c r="E15" s="5"/>
      <c r="F15" s="5"/>
      <c r="G15" s="9">
        <v>44077.0</v>
      </c>
      <c r="H15" s="5" t="s">
        <v>17</v>
      </c>
      <c r="I15" s="5" t="s">
        <v>51</v>
      </c>
      <c r="J15" s="6" t="s">
        <v>21</v>
      </c>
      <c r="K15" s="11">
        <v>7.1</v>
      </c>
      <c r="L15" s="11"/>
      <c r="M15" s="11"/>
    </row>
    <row r="16" hidden="1">
      <c r="A16" s="5">
        <v>697.0</v>
      </c>
      <c r="B16" s="6" t="s">
        <v>52</v>
      </c>
      <c r="C16" s="5" t="s">
        <v>53</v>
      </c>
      <c r="D16" s="5" t="s">
        <v>35</v>
      </c>
      <c r="E16" s="5"/>
      <c r="F16" s="5"/>
      <c r="G16" s="9">
        <v>44098.0</v>
      </c>
      <c r="H16" s="5" t="s">
        <v>54</v>
      </c>
      <c r="I16" s="5" t="s">
        <v>36</v>
      </c>
      <c r="J16" s="6" t="s">
        <v>18</v>
      </c>
      <c r="K16" s="10" t="s">
        <v>55</v>
      </c>
      <c r="L16" s="10"/>
      <c r="M16" s="10"/>
    </row>
    <row r="17" hidden="1">
      <c r="A17" s="5">
        <v>719.0</v>
      </c>
      <c r="B17" s="5" t="s">
        <v>56</v>
      </c>
      <c r="C17" s="5" t="s">
        <v>57</v>
      </c>
      <c r="D17" s="5" t="s">
        <v>35</v>
      </c>
      <c r="E17" s="5"/>
      <c r="F17" s="5"/>
      <c r="G17" s="9">
        <v>44109.0</v>
      </c>
      <c r="H17" s="5" t="s">
        <v>16</v>
      </c>
      <c r="I17" s="6" t="s">
        <v>17</v>
      </c>
      <c r="J17" s="6" t="s">
        <v>21</v>
      </c>
      <c r="K17" s="10">
        <v>7.2</v>
      </c>
      <c r="L17" s="10"/>
      <c r="M17" s="10"/>
    </row>
    <row r="18" hidden="1">
      <c r="A18" s="5">
        <v>727.0</v>
      </c>
      <c r="B18" s="6" t="s">
        <v>58</v>
      </c>
      <c r="C18" s="5" t="s">
        <v>59</v>
      </c>
      <c r="D18" s="5"/>
      <c r="E18" s="5"/>
      <c r="F18" s="5"/>
      <c r="G18" s="9">
        <v>44115.0</v>
      </c>
      <c r="H18" s="6" t="s">
        <v>60</v>
      </c>
      <c r="I18" s="5" t="s">
        <v>17</v>
      </c>
      <c r="J18" s="5"/>
      <c r="K18" s="10" t="s">
        <v>61</v>
      </c>
      <c r="L18" s="10"/>
      <c r="M18" s="10"/>
    </row>
    <row r="19" hidden="1">
      <c r="A19" s="5">
        <v>733.0</v>
      </c>
      <c r="B19" s="6" t="s">
        <v>62</v>
      </c>
      <c r="C19" s="5" t="s">
        <v>63</v>
      </c>
      <c r="D19" s="5" t="s">
        <v>35</v>
      </c>
      <c r="E19" s="5"/>
      <c r="F19" s="5"/>
      <c r="G19" s="9">
        <v>44121.0</v>
      </c>
      <c r="H19" s="5" t="s">
        <v>48</v>
      </c>
      <c r="I19" s="5" t="s">
        <v>16</v>
      </c>
      <c r="J19" s="6" t="s">
        <v>18</v>
      </c>
      <c r="K19" s="13"/>
      <c r="L19" s="13"/>
      <c r="M19" s="13"/>
    </row>
    <row r="20" hidden="1">
      <c r="A20" s="5">
        <v>735.0</v>
      </c>
      <c r="B20" s="6" t="s">
        <v>64</v>
      </c>
      <c r="C20" s="5" t="s">
        <v>65</v>
      </c>
      <c r="D20" s="5" t="s">
        <v>35</v>
      </c>
      <c r="E20" s="5"/>
      <c r="F20" s="5"/>
      <c r="G20" s="9">
        <v>44124.0</v>
      </c>
      <c r="H20" s="5" t="s">
        <v>17</v>
      </c>
      <c r="I20" s="5" t="s">
        <v>54</v>
      </c>
      <c r="J20" s="6" t="s">
        <v>18</v>
      </c>
      <c r="K20" s="13"/>
      <c r="L20" s="13"/>
      <c r="M20" s="13"/>
    </row>
    <row r="21" hidden="1">
      <c r="A21" s="5">
        <v>769.0</v>
      </c>
      <c r="B21" s="5" t="s">
        <v>66</v>
      </c>
      <c r="C21" s="6" t="s">
        <v>67</v>
      </c>
      <c r="D21" s="5" t="s">
        <v>35</v>
      </c>
      <c r="E21" s="5"/>
      <c r="F21" s="5"/>
      <c r="G21" s="9">
        <v>44141.0</v>
      </c>
      <c r="H21" s="6" t="s">
        <v>17</v>
      </c>
      <c r="I21" s="6" t="s">
        <v>48</v>
      </c>
      <c r="J21" s="6" t="s">
        <v>21</v>
      </c>
      <c r="K21" s="10">
        <v>7.2</v>
      </c>
      <c r="L21" s="10"/>
      <c r="M21" s="10"/>
    </row>
    <row r="22" hidden="1">
      <c r="A22" s="5">
        <v>777.0</v>
      </c>
      <c r="B22" s="11" t="s">
        <v>68</v>
      </c>
      <c r="C22" s="11" t="s">
        <v>69</v>
      </c>
      <c r="D22" s="11" t="s">
        <v>35</v>
      </c>
      <c r="E22" s="11"/>
      <c r="F22" s="11"/>
      <c r="G22" s="14">
        <v>44148.0</v>
      </c>
      <c r="H22" s="11" t="s">
        <v>60</v>
      </c>
      <c r="I22" s="11" t="s">
        <v>36</v>
      </c>
      <c r="J22" s="6" t="s">
        <v>21</v>
      </c>
      <c r="K22" s="11">
        <v>7.1</v>
      </c>
      <c r="L22" s="11"/>
      <c r="M22" s="11"/>
    </row>
    <row r="23" hidden="1">
      <c r="A23" s="5">
        <v>795.0</v>
      </c>
      <c r="B23" s="6" t="s">
        <v>70</v>
      </c>
      <c r="C23" s="10" t="s">
        <v>71</v>
      </c>
      <c r="D23" s="5" t="s">
        <v>35</v>
      </c>
      <c r="E23" s="5"/>
      <c r="F23" s="5"/>
      <c r="G23" s="9">
        <v>44536.0</v>
      </c>
      <c r="H23" s="5" t="s">
        <v>54</v>
      </c>
      <c r="I23" s="6" t="s">
        <v>36</v>
      </c>
      <c r="J23" s="6" t="s">
        <v>21</v>
      </c>
      <c r="K23" s="10">
        <v>8.1</v>
      </c>
      <c r="L23" s="10"/>
      <c r="M23" s="10"/>
    </row>
    <row r="24" hidden="1">
      <c r="A24" s="5">
        <v>799.0</v>
      </c>
      <c r="B24" s="6" t="s">
        <v>72</v>
      </c>
      <c r="C24" s="6" t="s">
        <v>73</v>
      </c>
      <c r="D24" s="5" t="s">
        <v>35</v>
      </c>
      <c r="E24" s="5"/>
      <c r="F24" s="5"/>
      <c r="G24" s="9">
        <v>44524.0</v>
      </c>
      <c r="H24" s="5" t="s">
        <v>45</v>
      </c>
      <c r="I24" s="5" t="s">
        <v>17</v>
      </c>
      <c r="J24" s="6" t="s">
        <v>18</v>
      </c>
      <c r="K24" s="13"/>
      <c r="L24" s="13"/>
      <c r="M24" s="13"/>
    </row>
    <row r="25">
      <c r="A25" s="5">
        <v>805.0</v>
      </c>
      <c r="B25" s="6" t="s">
        <v>37</v>
      </c>
      <c r="C25" s="6" t="s">
        <v>38</v>
      </c>
      <c r="D25" s="5" t="s">
        <v>35</v>
      </c>
      <c r="E25" s="5"/>
      <c r="F25" s="5"/>
      <c r="G25" s="9">
        <v>44162.0</v>
      </c>
      <c r="H25" s="6" t="s">
        <v>39</v>
      </c>
      <c r="I25" s="6" t="s">
        <v>39</v>
      </c>
      <c r="J25" s="12" t="s">
        <v>40</v>
      </c>
      <c r="K25" s="6" t="s">
        <v>41</v>
      </c>
      <c r="L25" s="6" t="s">
        <v>42</v>
      </c>
      <c r="M25" s="6"/>
    </row>
    <row r="26" hidden="1">
      <c r="A26" s="5">
        <v>811.0</v>
      </c>
      <c r="B26" s="15" t="s">
        <v>74</v>
      </c>
      <c r="C26" s="16" t="s">
        <v>75</v>
      </c>
      <c r="D26" s="6" t="s">
        <v>14</v>
      </c>
      <c r="E26" s="6"/>
      <c r="F26" s="6" t="s">
        <v>76</v>
      </c>
      <c r="G26" s="9"/>
      <c r="H26" s="6" t="s">
        <v>77</v>
      </c>
      <c r="I26" s="6" t="s">
        <v>36</v>
      </c>
      <c r="J26" s="6" t="s">
        <v>21</v>
      </c>
      <c r="K26" s="10">
        <v>7.1</v>
      </c>
      <c r="L26" s="10"/>
      <c r="M26" s="10"/>
    </row>
    <row r="27" hidden="1">
      <c r="A27" s="6">
        <v>815.0</v>
      </c>
      <c r="B27" s="17" t="s">
        <v>78</v>
      </c>
      <c r="C27" s="17" t="s">
        <v>79</v>
      </c>
      <c r="D27" s="6" t="s">
        <v>14</v>
      </c>
      <c r="E27" s="6"/>
      <c r="F27" s="7" t="s">
        <v>80</v>
      </c>
      <c r="G27" s="9"/>
      <c r="H27" s="6" t="s">
        <v>77</v>
      </c>
      <c r="I27" s="6" t="s">
        <v>81</v>
      </c>
      <c r="J27" s="6" t="s">
        <v>21</v>
      </c>
      <c r="K27" s="10">
        <v>7.2</v>
      </c>
      <c r="L27" s="10"/>
      <c r="M27" s="10"/>
    </row>
    <row r="28" hidden="1">
      <c r="A28" s="6">
        <v>817.0</v>
      </c>
      <c r="B28" s="16" t="s">
        <v>82</v>
      </c>
      <c r="C28" s="16" t="s">
        <v>83</v>
      </c>
      <c r="D28" s="6" t="s">
        <v>14</v>
      </c>
      <c r="E28" s="6"/>
      <c r="F28" s="7" t="s">
        <v>80</v>
      </c>
      <c r="G28" s="9"/>
      <c r="H28" s="6" t="s">
        <v>77</v>
      </c>
      <c r="I28" s="6" t="s">
        <v>81</v>
      </c>
      <c r="J28" s="6" t="s">
        <v>21</v>
      </c>
      <c r="K28" s="10">
        <v>7.2</v>
      </c>
      <c r="L28" s="10"/>
      <c r="M28" s="10"/>
    </row>
    <row r="29" hidden="1">
      <c r="A29" s="6">
        <v>821.0</v>
      </c>
      <c r="B29" s="17" t="s">
        <v>84</v>
      </c>
      <c r="C29" s="17" t="s">
        <v>85</v>
      </c>
      <c r="D29" s="6" t="s">
        <v>14</v>
      </c>
      <c r="E29" s="6"/>
      <c r="F29" s="7" t="s">
        <v>80</v>
      </c>
      <c r="G29" s="9"/>
      <c r="H29" s="6" t="s">
        <v>77</v>
      </c>
      <c r="I29" s="6" t="s">
        <v>81</v>
      </c>
      <c r="J29" s="6" t="s">
        <v>21</v>
      </c>
      <c r="K29" s="10">
        <v>7.2</v>
      </c>
      <c r="L29" s="10"/>
      <c r="M29" s="10"/>
    </row>
    <row r="30" hidden="1">
      <c r="A30" s="6">
        <v>823.0</v>
      </c>
      <c r="B30" s="16" t="s">
        <v>86</v>
      </c>
      <c r="C30" s="16" t="s">
        <v>87</v>
      </c>
      <c r="D30" s="6" t="s">
        <v>14</v>
      </c>
      <c r="E30" s="6"/>
      <c r="F30" s="7" t="s">
        <v>80</v>
      </c>
      <c r="G30" s="9"/>
      <c r="H30" s="6" t="s">
        <v>77</v>
      </c>
      <c r="I30" s="6" t="s">
        <v>81</v>
      </c>
      <c r="J30" s="6" t="s">
        <v>21</v>
      </c>
      <c r="K30" s="10">
        <v>7.2</v>
      </c>
      <c r="L30" s="10"/>
      <c r="M30" s="10"/>
    </row>
    <row r="31" hidden="1">
      <c r="A31" s="5">
        <v>825.0</v>
      </c>
      <c r="B31" s="18" t="s">
        <v>88</v>
      </c>
      <c r="C31" s="17" t="s">
        <v>89</v>
      </c>
      <c r="D31" s="6" t="s">
        <v>14</v>
      </c>
      <c r="E31" s="6"/>
      <c r="F31" s="6" t="s">
        <v>76</v>
      </c>
      <c r="G31" s="9"/>
      <c r="H31" s="6" t="s">
        <v>77</v>
      </c>
      <c r="I31" s="6" t="s">
        <v>36</v>
      </c>
      <c r="J31" s="6" t="s">
        <v>21</v>
      </c>
      <c r="K31" s="10">
        <v>7.1</v>
      </c>
      <c r="L31" s="10"/>
      <c r="M31" s="10"/>
    </row>
    <row r="32" hidden="1">
      <c r="A32" s="6">
        <v>827.0</v>
      </c>
      <c r="B32" s="16" t="s">
        <v>90</v>
      </c>
      <c r="C32" s="16" t="s">
        <v>91</v>
      </c>
      <c r="D32" s="6" t="s">
        <v>14</v>
      </c>
      <c r="E32" s="6"/>
      <c r="F32" s="8" t="s">
        <v>80</v>
      </c>
      <c r="G32" s="9"/>
      <c r="H32" s="6" t="s">
        <v>77</v>
      </c>
      <c r="I32" s="6" t="s">
        <v>81</v>
      </c>
      <c r="J32" s="6" t="s">
        <v>21</v>
      </c>
      <c r="K32" s="10">
        <v>7.2</v>
      </c>
      <c r="L32" s="10"/>
      <c r="M32" s="10"/>
    </row>
    <row r="33" hidden="1">
      <c r="A33" s="6">
        <v>857.0</v>
      </c>
      <c r="B33" s="17" t="s">
        <v>92</v>
      </c>
      <c r="C33" s="17" t="s">
        <v>93</v>
      </c>
      <c r="D33" s="6" t="s">
        <v>14</v>
      </c>
      <c r="E33" s="6"/>
      <c r="F33" s="8" t="s">
        <v>80</v>
      </c>
      <c r="G33" s="9"/>
      <c r="H33" s="6" t="s">
        <v>77</v>
      </c>
      <c r="I33" s="6" t="s">
        <v>81</v>
      </c>
      <c r="J33" s="6" t="s">
        <v>21</v>
      </c>
      <c r="K33" s="10">
        <v>7.2</v>
      </c>
      <c r="L33" s="10"/>
      <c r="M33" s="10"/>
    </row>
    <row r="34" hidden="1">
      <c r="A34" s="5">
        <v>861.0</v>
      </c>
      <c r="B34" s="15" t="s">
        <v>94</v>
      </c>
      <c r="C34" s="16" t="s">
        <v>95</v>
      </c>
      <c r="D34" s="6" t="s">
        <v>14</v>
      </c>
      <c r="E34" s="6"/>
      <c r="F34" s="6" t="s">
        <v>76</v>
      </c>
      <c r="G34" s="9"/>
      <c r="H34" s="6" t="s">
        <v>77</v>
      </c>
      <c r="I34" s="6" t="s">
        <v>36</v>
      </c>
      <c r="J34" s="6" t="s">
        <v>21</v>
      </c>
      <c r="K34" s="10">
        <v>7.1</v>
      </c>
      <c r="L34" s="10"/>
      <c r="M34" s="10"/>
    </row>
    <row r="35" hidden="1">
      <c r="A35" s="5">
        <v>863.0</v>
      </c>
      <c r="B35" s="5" t="s">
        <v>96</v>
      </c>
      <c r="C35" s="6" t="s">
        <v>97</v>
      </c>
      <c r="D35" s="5"/>
      <c r="E35" s="5"/>
      <c r="F35" s="5"/>
      <c r="G35" s="9">
        <v>44190.0</v>
      </c>
      <c r="H35" s="5" t="s">
        <v>45</v>
      </c>
      <c r="I35" s="6" t="s">
        <v>17</v>
      </c>
      <c r="J35" s="6" t="s">
        <v>18</v>
      </c>
      <c r="K35" s="13"/>
      <c r="L35" s="13"/>
      <c r="M35" s="13"/>
    </row>
    <row r="36">
      <c r="A36" s="5">
        <v>873.0</v>
      </c>
      <c r="B36" s="19" t="s">
        <v>37</v>
      </c>
      <c r="C36" s="19" t="s">
        <v>38</v>
      </c>
      <c r="D36" s="6" t="s">
        <v>14</v>
      </c>
      <c r="E36" s="6"/>
      <c r="F36" s="11" t="s">
        <v>98</v>
      </c>
      <c r="G36" s="20" t="s">
        <v>99</v>
      </c>
      <c r="H36" s="6" t="s">
        <v>39</v>
      </c>
      <c r="I36" s="6" t="s">
        <v>39</v>
      </c>
      <c r="J36" s="12" t="s">
        <v>40</v>
      </c>
      <c r="K36" s="10" t="s">
        <v>100</v>
      </c>
      <c r="L36" s="10" t="s">
        <v>101</v>
      </c>
      <c r="M36" s="10" t="s">
        <v>102</v>
      </c>
    </row>
    <row r="37" hidden="1">
      <c r="A37" s="5">
        <v>923.0</v>
      </c>
      <c r="B37" s="5" t="s">
        <v>103</v>
      </c>
      <c r="C37" s="6" t="s">
        <v>104</v>
      </c>
      <c r="D37" s="5" t="s">
        <v>105</v>
      </c>
      <c r="E37" s="5"/>
      <c r="F37" s="5"/>
      <c r="G37" s="9">
        <v>44222.0</v>
      </c>
      <c r="H37" s="5"/>
      <c r="I37" s="5"/>
      <c r="J37" s="6" t="s">
        <v>18</v>
      </c>
      <c r="K37" s="13"/>
      <c r="L37" s="13"/>
      <c r="M37" s="13"/>
    </row>
    <row r="38" hidden="1">
      <c r="A38" s="5">
        <v>927.0</v>
      </c>
      <c r="B38" s="5" t="s">
        <v>106</v>
      </c>
      <c r="C38" s="6" t="s">
        <v>107</v>
      </c>
      <c r="D38" s="5" t="s">
        <v>35</v>
      </c>
      <c r="E38" s="5"/>
      <c r="F38" s="5"/>
      <c r="G38" s="9">
        <v>44221.0</v>
      </c>
      <c r="H38" s="5" t="s">
        <v>48</v>
      </c>
      <c r="I38" s="5" t="s">
        <v>51</v>
      </c>
      <c r="J38" s="6" t="s">
        <v>18</v>
      </c>
      <c r="K38" s="13"/>
      <c r="L38" s="13"/>
      <c r="M38" s="13"/>
    </row>
    <row r="39" hidden="1">
      <c r="A39" s="5">
        <v>929.0</v>
      </c>
      <c r="B39" s="5" t="s">
        <v>108</v>
      </c>
      <c r="C39" s="6" t="s">
        <v>109</v>
      </c>
      <c r="D39" s="5" t="s">
        <v>35</v>
      </c>
      <c r="E39" s="5"/>
      <c r="F39" s="5"/>
      <c r="G39" s="9">
        <v>44225.0</v>
      </c>
      <c r="H39" s="5" t="s">
        <v>60</v>
      </c>
      <c r="I39" s="5" t="s">
        <v>45</v>
      </c>
      <c r="J39" s="6" t="s">
        <v>21</v>
      </c>
      <c r="K39" s="10">
        <v>8.1</v>
      </c>
      <c r="L39" s="10"/>
      <c r="M39" s="10"/>
    </row>
    <row r="40">
      <c r="A40" s="5">
        <v>933.0</v>
      </c>
      <c r="B40" s="6" t="s">
        <v>37</v>
      </c>
      <c r="C40" s="6" t="s">
        <v>38</v>
      </c>
      <c r="D40" s="5" t="s">
        <v>35</v>
      </c>
      <c r="E40" s="5"/>
      <c r="F40" s="5"/>
      <c r="G40" s="9">
        <v>44227.0</v>
      </c>
      <c r="H40" s="6" t="s">
        <v>39</v>
      </c>
      <c r="I40" s="6" t="s">
        <v>39</v>
      </c>
      <c r="J40" s="12" t="s">
        <v>40</v>
      </c>
      <c r="K40" s="10"/>
      <c r="L40" s="10" t="s">
        <v>42</v>
      </c>
      <c r="M40" s="10"/>
    </row>
    <row r="41" hidden="1">
      <c r="A41" s="5">
        <v>937.0</v>
      </c>
      <c r="B41" s="5" t="s">
        <v>110</v>
      </c>
      <c r="C41" s="6" t="s">
        <v>111</v>
      </c>
      <c r="D41" s="5" t="s">
        <v>35</v>
      </c>
      <c r="E41" s="5"/>
      <c r="F41" s="5"/>
      <c r="G41" s="9">
        <v>44232.0</v>
      </c>
      <c r="H41" s="5" t="s">
        <v>54</v>
      </c>
      <c r="I41" s="5" t="s">
        <v>48</v>
      </c>
      <c r="J41" s="6" t="s">
        <v>18</v>
      </c>
      <c r="K41" s="13"/>
      <c r="L41" s="13"/>
      <c r="M41" s="13"/>
    </row>
    <row r="42" hidden="1">
      <c r="A42" s="5">
        <v>939.0</v>
      </c>
      <c r="B42" s="5" t="s">
        <v>112</v>
      </c>
      <c r="C42" s="5" t="s">
        <v>13</v>
      </c>
      <c r="D42" s="7" t="s">
        <v>14</v>
      </c>
      <c r="E42" s="7"/>
      <c r="F42" s="8" t="s">
        <v>15</v>
      </c>
      <c r="G42" s="20">
        <v>44239.0</v>
      </c>
      <c r="H42" s="7" t="s">
        <v>16</v>
      </c>
      <c r="I42" s="7" t="s">
        <v>17</v>
      </c>
      <c r="J42" s="6" t="s">
        <v>21</v>
      </c>
      <c r="K42" s="10">
        <v>8.1</v>
      </c>
      <c r="L42" s="10"/>
      <c r="M42" s="10"/>
    </row>
    <row r="43" hidden="1">
      <c r="A43" s="6">
        <v>957.0</v>
      </c>
      <c r="B43" s="6" t="s">
        <v>113</v>
      </c>
      <c r="C43" s="6" t="s">
        <v>114</v>
      </c>
      <c r="D43" s="6" t="s">
        <v>35</v>
      </c>
      <c r="E43" s="6"/>
      <c r="F43" s="6"/>
      <c r="G43" s="20">
        <v>44246.0</v>
      </c>
      <c r="H43" s="6" t="s">
        <v>36</v>
      </c>
      <c r="I43" s="6" t="s">
        <v>17</v>
      </c>
      <c r="J43" s="6" t="s">
        <v>115</v>
      </c>
      <c r="K43" s="10" t="s">
        <v>116</v>
      </c>
      <c r="L43" s="10"/>
      <c r="M43" s="10"/>
    </row>
    <row r="44" hidden="1">
      <c r="A44" s="5">
        <v>959.0</v>
      </c>
      <c r="B44" s="5" t="s">
        <v>117</v>
      </c>
      <c r="C44" s="6" t="s">
        <v>118</v>
      </c>
      <c r="D44" s="5" t="s">
        <v>35</v>
      </c>
      <c r="E44" s="5"/>
      <c r="F44" s="5"/>
      <c r="G44" s="9">
        <v>44249.0</v>
      </c>
      <c r="H44" s="5" t="s">
        <v>45</v>
      </c>
      <c r="I44" s="6" t="s">
        <v>17</v>
      </c>
      <c r="J44" s="6" t="s">
        <v>115</v>
      </c>
      <c r="K44" s="10" t="s">
        <v>116</v>
      </c>
      <c r="L44" s="10"/>
      <c r="M44" s="10"/>
    </row>
    <row r="45" hidden="1">
      <c r="A45" s="5">
        <v>961.0</v>
      </c>
      <c r="B45" s="5" t="s">
        <v>119</v>
      </c>
      <c r="C45" s="5" t="s">
        <v>120</v>
      </c>
      <c r="D45" s="5" t="s">
        <v>35</v>
      </c>
      <c r="E45" s="5"/>
      <c r="F45" s="5"/>
      <c r="G45" s="9">
        <v>44255.0</v>
      </c>
      <c r="H45" s="5" t="s">
        <v>48</v>
      </c>
      <c r="I45" s="5" t="s">
        <v>17</v>
      </c>
      <c r="J45" s="6" t="s">
        <v>115</v>
      </c>
      <c r="K45" s="10" t="s">
        <v>116</v>
      </c>
      <c r="L45" s="10"/>
      <c r="M45" s="10"/>
    </row>
    <row r="46" hidden="1">
      <c r="A46" s="5">
        <v>963.0</v>
      </c>
      <c r="B46" s="5" t="s">
        <v>121</v>
      </c>
      <c r="C46" s="5" t="s">
        <v>122</v>
      </c>
      <c r="D46" s="5" t="s">
        <v>35</v>
      </c>
      <c r="E46" s="5"/>
      <c r="F46" s="5"/>
      <c r="G46" s="9">
        <v>44254.0</v>
      </c>
      <c r="H46" s="5"/>
      <c r="I46" s="5"/>
      <c r="J46" s="6" t="s">
        <v>18</v>
      </c>
      <c r="K46" s="13"/>
      <c r="L46" s="13"/>
      <c r="M46" s="13"/>
    </row>
    <row r="47" hidden="1">
      <c r="A47" s="6">
        <v>965.0</v>
      </c>
      <c r="B47" s="17" t="s">
        <v>123</v>
      </c>
      <c r="C47" s="17" t="s">
        <v>124</v>
      </c>
      <c r="D47" s="6" t="s">
        <v>14</v>
      </c>
      <c r="E47" s="6"/>
      <c r="F47" s="6" t="s">
        <v>76</v>
      </c>
      <c r="G47" s="20">
        <v>44187.0</v>
      </c>
      <c r="H47" s="6" t="s">
        <v>77</v>
      </c>
      <c r="I47" s="6" t="s">
        <v>36</v>
      </c>
      <c r="J47" s="21" t="s">
        <v>21</v>
      </c>
      <c r="K47" s="22">
        <v>7.1</v>
      </c>
      <c r="L47" s="22"/>
      <c r="M47" s="22"/>
    </row>
    <row r="48" hidden="1">
      <c r="A48" s="6">
        <v>967.0</v>
      </c>
      <c r="B48" s="16" t="s">
        <v>125</v>
      </c>
      <c r="C48" s="16" t="s">
        <v>126</v>
      </c>
      <c r="D48" s="6" t="s">
        <v>14</v>
      </c>
      <c r="E48" s="6"/>
      <c r="F48" s="6" t="s">
        <v>76</v>
      </c>
      <c r="G48" s="9"/>
      <c r="H48" s="6" t="s">
        <v>77</v>
      </c>
      <c r="I48" s="6" t="s">
        <v>36</v>
      </c>
      <c r="J48" s="6" t="s">
        <v>21</v>
      </c>
      <c r="K48" s="10">
        <v>7.1</v>
      </c>
      <c r="L48" s="10"/>
      <c r="M48" s="10"/>
    </row>
    <row r="49" hidden="1">
      <c r="A49" s="5">
        <v>979.0</v>
      </c>
      <c r="B49" s="5" t="s">
        <v>127</v>
      </c>
      <c r="C49" s="5" t="s">
        <v>128</v>
      </c>
      <c r="D49" s="5" t="s">
        <v>129</v>
      </c>
      <c r="E49" s="5"/>
      <c r="F49" s="5"/>
      <c r="G49" s="9">
        <v>44268.0</v>
      </c>
      <c r="H49" s="5"/>
      <c r="I49" s="5"/>
      <c r="J49" s="6" t="s">
        <v>18</v>
      </c>
      <c r="K49" s="13"/>
      <c r="L49" s="13"/>
      <c r="M49" s="13"/>
    </row>
    <row r="50" hidden="1">
      <c r="A50" s="5">
        <v>983.0</v>
      </c>
      <c r="B50" s="5" t="s">
        <v>130</v>
      </c>
      <c r="C50" s="5" t="s">
        <v>131</v>
      </c>
      <c r="D50" s="5" t="s">
        <v>35</v>
      </c>
      <c r="E50" s="5"/>
      <c r="F50" s="5"/>
      <c r="G50" s="9">
        <v>44270.0</v>
      </c>
      <c r="H50" s="5" t="s">
        <v>36</v>
      </c>
      <c r="I50" s="5" t="s">
        <v>51</v>
      </c>
      <c r="J50" s="6" t="s">
        <v>18</v>
      </c>
      <c r="K50" s="13"/>
      <c r="L50" s="13"/>
      <c r="M50" s="13"/>
    </row>
    <row r="51">
      <c r="A51" s="5">
        <v>991.0</v>
      </c>
      <c r="B51" s="6" t="s">
        <v>37</v>
      </c>
      <c r="C51" s="6" t="s">
        <v>38</v>
      </c>
      <c r="D51" s="5" t="s">
        <v>35</v>
      </c>
      <c r="E51" s="5"/>
      <c r="F51" s="5"/>
      <c r="G51" s="9">
        <v>44271.0</v>
      </c>
      <c r="H51" s="6" t="s">
        <v>39</v>
      </c>
      <c r="I51" s="6" t="s">
        <v>39</v>
      </c>
      <c r="J51" s="12" t="s">
        <v>40</v>
      </c>
      <c r="K51" s="10" t="s">
        <v>132</v>
      </c>
      <c r="L51" s="10" t="s">
        <v>42</v>
      </c>
      <c r="M51" s="10"/>
    </row>
    <row r="52" hidden="1">
      <c r="A52" s="5">
        <v>999.0</v>
      </c>
      <c r="B52" s="6" t="s">
        <v>133</v>
      </c>
      <c r="C52" s="5" t="s">
        <v>134</v>
      </c>
      <c r="D52" s="5" t="s">
        <v>35</v>
      </c>
      <c r="E52" s="5"/>
      <c r="F52" s="5"/>
      <c r="G52" s="9">
        <v>44277.0</v>
      </c>
      <c r="H52" s="5" t="s">
        <v>17</v>
      </c>
      <c r="I52" s="5" t="s">
        <v>60</v>
      </c>
      <c r="J52" s="6" t="s">
        <v>18</v>
      </c>
      <c r="K52" s="13"/>
      <c r="L52" s="13"/>
      <c r="M52" s="13"/>
    </row>
    <row r="53" hidden="1">
      <c r="A53" s="21">
        <v>1005.0</v>
      </c>
      <c r="B53" s="21" t="s">
        <v>135</v>
      </c>
      <c r="C53" s="21" t="s">
        <v>136</v>
      </c>
      <c r="D53" s="21" t="s">
        <v>14</v>
      </c>
      <c r="E53" s="21"/>
      <c r="F53" s="23" t="s">
        <v>98</v>
      </c>
      <c r="G53" s="24" t="s">
        <v>137</v>
      </c>
      <c r="H53" s="21" t="s">
        <v>51</v>
      </c>
      <c r="I53" s="21" t="s">
        <v>17</v>
      </c>
      <c r="J53" s="21" t="s">
        <v>115</v>
      </c>
      <c r="K53" s="22" t="s">
        <v>116</v>
      </c>
      <c r="L53" s="22"/>
      <c r="M53" s="22"/>
    </row>
    <row r="54" hidden="1">
      <c r="A54" s="15">
        <v>1013.0</v>
      </c>
      <c r="B54" s="15" t="s">
        <v>138</v>
      </c>
      <c r="C54" s="15" t="s">
        <v>139</v>
      </c>
      <c r="D54" s="15" t="s">
        <v>35</v>
      </c>
      <c r="E54" s="15"/>
      <c r="F54" s="15"/>
      <c r="G54" s="25">
        <v>44289.0</v>
      </c>
      <c r="H54" s="15" t="s">
        <v>48</v>
      </c>
      <c r="I54" s="15" t="s">
        <v>36</v>
      </c>
      <c r="J54" s="16" t="s">
        <v>18</v>
      </c>
      <c r="K54" s="15"/>
      <c r="L54" s="15"/>
      <c r="M54" s="15"/>
    </row>
    <row r="55" hidden="1">
      <c r="A55" s="26">
        <v>1017.0</v>
      </c>
      <c r="B55" s="26" t="s">
        <v>140</v>
      </c>
      <c r="C55" s="26" t="s">
        <v>141</v>
      </c>
      <c r="D55" s="21" t="s">
        <v>142</v>
      </c>
      <c r="E55" s="21"/>
      <c r="F55" s="26"/>
      <c r="G55" s="27">
        <v>44294.0</v>
      </c>
      <c r="H55" s="26"/>
      <c r="I55" s="26"/>
      <c r="J55" s="21" t="s">
        <v>18</v>
      </c>
      <c r="K55" s="26"/>
      <c r="L55" s="26"/>
      <c r="M55" s="26"/>
    </row>
    <row r="56">
      <c r="A56" s="15">
        <v>1031.0</v>
      </c>
      <c r="B56" s="16" t="s">
        <v>37</v>
      </c>
      <c r="C56" s="16" t="s">
        <v>38</v>
      </c>
      <c r="D56" s="15" t="s">
        <v>35</v>
      </c>
      <c r="E56" s="15"/>
      <c r="F56" s="15"/>
      <c r="G56" s="25">
        <v>44304.0</v>
      </c>
      <c r="H56" s="16" t="s">
        <v>39</v>
      </c>
      <c r="I56" s="16" t="s">
        <v>39</v>
      </c>
      <c r="J56" s="12" t="s">
        <v>40</v>
      </c>
      <c r="K56" s="16" t="s">
        <v>143</v>
      </c>
      <c r="L56" s="28" t="s">
        <v>42</v>
      </c>
      <c r="M56" s="16"/>
    </row>
    <row r="57">
      <c r="A57" s="21">
        <v>1049.0</v>
      </c>
      <c r="B57" s="21" t="s">
        <v>37</v>
      </c>
      <c r="C57" s="21" t="s">
        <v>38</v>
      </c>
      <c r="D57" s="26" t="s">
        <v>35</v>
      </c>
      <c r="E57" s="26"/>
      <c r="F57" s="26"/>
      <c r="G57" s="24">
        <v>44323.0</v>
      </c>
      <c r="H57" s="21" t="s">
        <v>39</v>
      </c>
      <c r="I57" s="21" t="s">
        <v>39</v>
      </c>
      <c r="J57" s="29" t="s">
        <v>144</v>
      </c>
      <c r="K57" s="21"/>
      <c r="L57" s="21" t="s">
        <v>101</v>
      </c>
      <c r="M57" s="21"/>
    </row>
    <row r="58">
      <c r="A58" s="16">
        <v>1059.0</v>
      </c>
      <c r="B58" s="16" t="s">
        <v>37</v>
      </c>
      <c r="C58" s="16" t="s">
        <v>38</v>
      </c>
      <c r="D58" s="15" t="s">
        <v>35</v>
      </c>
      <c r="E58" s="15"/>
      <c r="F58" s="15"/>
      <c r="G58" s="30">
        <v>44326.0</v>
      </c>
      <c r="H58" s="16" t="s">
        <v>39</v>
      </c>
      <c r="I58" s="16" t="s">
        <v>39</v>
      </c>
      <c r="J58" s="12" t="s">
        <v>40</v>
      </c>
      <c r="K58" s="16" t="s">
        <v>145</v>
      </c>
      <c r="L58" s="16" t="s">
        <v>101</v>
      </c>
      <c r="M58" s="31">
        <v>44774.0</v>
      </c>
    </row>
    <row r="59" hidden="1">
      <c r="A59" s="21">
        <v>1085.0</v>
      </c>
      <c r="B59" s="21" t="s">
        <v>146</v>
      </c>
      <c r="C59" s="21" t="s">
        <v>147</v>
      </c>
      <c r="D59" s="32" t="s">
        <v>14</v>
      </c>
      <c r="E59" s="32"/>
      <c r="F59" s="33" t="s">
        <v>148</v>
      </c>
      <c r="G59" s="27">
        <v>44344.0</v>
      </c>
      <c r="H59" s="21" t="s">
        <v>45</v>
      </c>
      <c r="I59" s="21" t="s">
        <v>17</v>
      </c>
      <c r="J59" s="21" t="s">
        <v>115</v>
      </c>
      <c r="K59" s="21" t="s">
        <v>116</v>
      </c>
      <c r="L59" s="21"/>
      <c r="M59" s="21"/>
    </row>
    <row r="60">
      <c r="A60" s="16">
        <v>1091.0</v>
      </c>
      <c r="B60" s="16" t="s">
        <v>37</v>
      </c>
      <c r="C60" s="16" t="s">
        <v>38</v>
      </c>
      <c r="D60" s="34" t="s">
        <v>14</v>
      </c>
      <c r="E60" s="34"/>
      <c r="F60" s="35" t="s">
        <v>148</v>
      </c>
      <c r="G60" s="30">
        <v>44345.0</v>
      </c>
      <c r="H60" s="16" t="s">
        <v>39</v>
      </c>
      <c r="I60" s="16" t="s">
        <v>39</v>
      </c>
      <c r="J60" s="29" t="s">
        <v>144</v>
      </c>
      <c r="K60" s="16" t="s">
        <v>149</v>
      </c>
      <c r="L60" s="16" t="s">
        <v>101</v>
      </c>
      <c r="M60" s="31"/>
    </row>
    <row r="61">
      <c r="A61" s="21">
        <v>1095.0</v>
      </c>
      <c r="B61" s="21" t="s">
        <v>37</v>
      </c>
      <c r="C61" s="21" t="s">
        <v>38</v>
      </c>
      <c r="D61" s="32" t="s">
        <v>14</v>
      </c>
      <c r="E61" s="32"/>
      <c r="F61" s="33" t="s">
        <v>148</v>
      </c>
      <c r="G61" s="27">
        <v>44348.0</v>
      </c>
      <c r="H61" s="21" t="s">
        <v>39</v>
      </c>
      <c r="I61" s="21" t="s">
        <v>39</v>
      </c>
      <c r="J61" s="12" t="s">
        <v>40</v>
      </c>
      <c r="K61" s="21" t="s">
        <v>150</v>
      </c>
      <c r="L61" s="21" t="s">
        <v>101</v>
      </c>
      <c r="M61" s="36">
        <v>44774.0</v>
      </c>
    </row>
    <row r="62">
      <c r="A62" s="16">
        <v>1109.0</v>
      </c>
      <c r="B62" s="16" t="s">
        <v>37</v>
      </c>
      <c r="C62" s="16" t="s">
        <v>38</v>
      </c>
      <c r="D62" s="16" t="s">
        <v>14</v>
      </c>
      <c r="E62" s="16"/>
      <c r="F62" s="37" t="s">
        <v>98</v>
      </c>
      <c r="G62" s="30">
        <v>44368.0</v>
      </c>
      <c r="H62" s="16" t="s">
        <v>39</v>
      </c>
      <c r="I62" s="16" t="s">
        <v>39</v>
      </c>
      <c r="J62" s="29" t="s">
        <v>144</v>
      </c>
      <c r="K62" s="16" t="s">
        <v>151</v>
      </c>
      <c r="L62" s="16"/>
      <c r="M62" s="16"/>
    </row>
    <row r="63" hidden="1">
      <c r="A63" s="21">
        <v>1119.0</v>
      </c>
      <c r="B63" s="21" t="s">
        <v>152</v>
      </c>
      <c r="C63" s="21" t="s">
        <v>153</v>
      </c>
      <c r="D63" s="21" t="s">
        <v>14</v>
      </c>
      <c r="E63" s="21"/>
      <c r="F63" s="21" t="s">
        <v>76</v>
      </c>
      <c r="G63" s="24">
        <v>44450.0</v>
      </c>
      <c r="H63" s="21" t="s">
        <v>77</v>
      </c>
      <c r="I63" s="21" t="s">
        <v>36</v>
      </c>
      <c r="J63" s="21" t="s">
        <v>21</v>
      </c>
      <c r="K63" s="22">
        <v>7.1</v>
      </c>
      <c r="L63" s="22"/>
      <c r="M63" s="22"/>
    </row>
    <row r="64" hidden="1">
      <c r="A64" s="16">
        <v>1123.0</v>
      </c>
      <c r="B64" s="16" t="s">
        <v>154</v>
      </c>
      <c r="C64" s="16" t="s">
        <v>155</v>
      </c>
      <c r="D64" s="15" t="s">
        <v>35</v>
      </c>
      <c r="E64" s="15"/>
      <c r="F64" s="15"/>
      <c r="G64" s="30">
        <v>44358.0</v>
      </c>
      <c r="H64" s="16" t="s">
        <v>54</v>
      </c>
      <c r="I64" s="16" t="s">
        <v>36</v>
      </c>
      <c r="J64" s="16" t="s">
        <v>18</v>
      </c>
      <c r="K64" s="16"/>
      <c r="L64" s="16"/>
      <c r="M64" s="16"/>
    </row>
    <row r="65" hidden="1">
      <c r="A65" s="21">
        <v>1161.0</v>
      </c>
      <c r="B65" s="21" t="s">
        <v>156</v>
      </c>
      <c r="C65" s="21" t="s">
        <v>157</v>
      </c>
      <c r="D65" s="21" t="s">
        <v>35</v>
      </c>
      <c r="E65" s="21"/>
      <c r="F65" s="21"/>
      <c r="G65" s="24">
        <v>44383.0</v>
      </c>
      <c r="H65" s="21" t="s">
        <v>77</v>
      </c>
      <c r="I65" s="21" t="s">
        <v>36</v>
      </c>
      <c r="J65" s="21" t="s">
        <v>115</v>
      </c>
      <c r="K65" s="21" t="s">
        <v>116</v>
      </c>
      <c r="L65" s="21"/>
      <c r="M65" s="21"/>
    </row>
    <row r="66" hidden="1">
      <c r="A66" s="16">
        <v>1179.0</v>
      </c>
      <c r="B66" s="16" t="s">
        <v>158</v>
      </c>
      <c r="C66" s="16" t="s">
        <v>159</v>
      </c>
      <c r="D66" s="16" t="s">
        <v>35</v>
      </c>
      <c r="E66" s="16"/>
      <c r="F66" s="16"/>
      <c r="G66" s="30">
        <v>44404.0</v>
      </c>
      <c r="H66" s="16" t="s">
        <v>160</v>
      </c>
      <c r="I66" s="16" t="s">
        <v>17</v>
      </c>
      <c r="J66" s="16" t="s">
        <v>115</v>
      </c>
      <c r="K66" s="16" t="s">
        <v>116</v>
      </c>
      <c r="L66" s="16"/>
      <c r="M66" s="16"/>
    </row>
    <row r="67" hidden="1">
      <c r="A67" s="21">
        <v>1197.0</v>
      </c>
      <c r="B67" s="21" t="s">
        <v>161</v>
      </c>
      <c r="C67" s="21" t="s">
        <v>162</v>
      </c>
      <c r="D67" s="21" t="s">
        <v>163</v>
      </c>
      <c r="E67" s="21"/>
      <c r="F67" s="21"/>
      <c r="G67" s="24">
        <v>44406.0</v>
      </c>
      <c r="H67" s="21" t="s">
        <v>77</v>
      </c>
      <c r="I67" s="21" t="s">
        <v>60</v>
      </c>
      <c r="J67" s="21" t="s">
        <v>21</v>
      </c>
      <c r="K67" s="22">
        <v>7.1</v>
      </c>
      <c r="L67" s="22"/>
      <c r="M67" s="22"/>
    </row>
    <row r="68" hidden="1">
      <c r="A68" s="38">
        <v>1205.0</v>
      </c>
      <c r="B68" s="38" t="s">
        <v>164</v>
      </c>
      <c r="C68" s="38" t="s">
        <v>165</v>
      </c>
      <c r="D68" s="38" t="s">
        <v>35</v>
      </c>
      <c r="E68" s="38"/>
      <c r="F68" s="38"/>
      <c r="G68" s="30">
        <v>44412.0</v>
      </c>
      <c r="H68" s="16" t="s">
        <v>54</v>
      </c>
      <c r="I68" s="16" t="s">
        <v>17</v>
      </c>
      <c r="J68" s="16" t="s">
        <v>18</v>
      </c>
      <c r="K68" s="15"/>
      <c r="L68" s="15"/>
      <c r="M68" s="15"/>
    </row>
    <row r="69" hidden="1">
      <c r="A69" s="39">
        <v>1213.0</v>
      </c>
      <c r="B69" s="39" t="s">
        <v>166</v>
      </c>
      <c r="C69" s="39" t="s">
        <v>167</v>
      </c>
      <c r="D69" s="39" t="s">
        <v>35</v>
      </c>
      <c r="E69" s="39"/>
      <c r="F69" s="39"/>
      <c r="G69" s="24">
        <v>44414.0</v>
      </c>
      <c r="H69" s="26"/>
      <c r="I69" s="26"/>
      <c r="J69" s="21" t="s">
        <v>18</v>
      </c>
      <c r="K69" s="21" t="s">
        <v>168</v>
      </c>
      <c r="L69" s="21"/>
      <c r="M69" s="21"/>
    </row>
    <row r="70" hidden="1">
      <c r="A70" s="38">
        <v>1219.0</v>
      </c>
      <c r="B70" s="16" t="s">
        <v>169</v>
      </c>
      <c r="C70" s="38" t="s">
        <v>170</v>
      </c>
      <c r="D70" s="38" t="s">
        <v>35</v>
      </c>
      <c r="E70" s="38"/>
      <c r="F70" s="38"/>
      <c r="G70" s="30">
        <v>44415.0</v>
      </c>
      <c r="H70" s="15"/>
      <c r="I70" s="15"/>
      <c r="J70" s="16" t="s">
        <v>18</v>
      </c>
      <c r="K70" s="15"/>
      <c r="L70" s="15"/>
      <c r="M70" s="15"/>
    </row>
    <row r="71" hidden="1">
      <c r="A71" s="39">
        <v>1225.0</v>
      </c>
      <c r="B71" s="39" t="s">
        <v>171</v>
      </c>
      <c r="C71" s="39" t="s">
        <v>172</v>
      </c>
      <c r="D71" s="39" t="s">
        <v>35</v>
      </c>
      <c r="E71" s="39"/>
      <c r="F71" s="39"/>
      <c r="G71" s="24">
        <v>44428.0</v>
      </c>
      <c r="H71" s="39" t="s">
        <v>48</v>
      </c>
      <c r="I71" s="39" t="s">
        <v>60</v>
      </c>
      <c r="J71" s="21" t="s">
        <v>18</v>
      </c>
      <c r="K71" s="26"/>
      <c r="L71" s="26"/>
      <c r="M71" s="26"/>
    </row>
    <row r="72" hidden="1">
      <c r="A72" s="16">
        <v>1233.0</v>
      </c>
      <c r="B72" s="38" t="s">
        <v>173</v>
      </c>
      <c r="C72" s="38" t="s">
        <v>174</v>
      </c>
      <c r="D72" s="38" t="s">
        <v>35</v>
      </c>
      <c r="E72" s="38"/>
      <c r="F72" s="38"/>
      <c r="G72" s="25">
        <v>44434.0</v>
      </c>
      <c r="H72" s="38" t="s">
        <v>60</v>
      </c>
      <c r="I72" s="38" t="s">
        <v>45</v>
      </c>
      <c r="J72" s="16" t="s">
        <v>115</v>
      </c>
      <c r="K72" s="16" t="s">
        <v>175</v>
      </c>
      <c r="L72" s="16"/>
      <c r="M72" s="16"/>
    </row>
    <row r="73" hidden="1">
      <c r="A73" s="39">
        <v>1295.0</v>
      </c>
      <c r="B73" s="39" t="s">
        <v>176</v>
      </c>
      <c r="C73" s="39" t="s">
        <v>177</v>
      </c>
      <c r="D73" s="39" t="s">
        <v>142</v>
      </c>
      <c r="E73" s="39"/>
      <c r="F73" s="39"/>
      <c r="G73" s="27">
        <v>44477.0</v>
      </c>
      <c r="H73" s="39" t="s">
        <v>36</v>
      </c>
      <c r="I73" s="39" t="s">
        <v>51</v>
      </c>
      <c r="J73" s="39" t="s">
        <v>18</v>
      </c>
      <c r="K73" s="26"/>
      <c r="L73" s="26"/>
      <c r="M73" s="26"/>
    </row>
    <row r="74" hidden="1">
      <c r="A74" s="38">
        <v>1185.0</v>
      </c>
      <c r="B74" s="38" t="s">
        <v>178</v>
      </c>
      <c r="C74" s="38" t="s">
        <v>179</v>
      </c>
      <c r="D74" s="16" t="s">
        <v>14</v>
      </c>
      <c r="E74" s="16"/>
      <c r="F74" s="16" t="s">
        <v>180</v>
      </c>
      <c r="G74" s="40">
        <v>44441.0</v>
      </c>
      <c r="H74" s="38" t="s">
        <v>51</v>
      </c>
      <c r="I74" s="38" t="s">
        <v>17</v>
      </c>
      <c r="J74" s="38" t="s">
        <v>115</v>
      </c>
      <c r="K74" s="38" t="s">
        <v>181</v>
      </c>
      <c r="L74" s="38"/>
      <c r="M74" s="38"/>
    </row>
    <row r="75">
      <c r="A75" s="39">
        <v>1239.0</v>
      </c>
      <c r="B75" s="21" t="s">
        <v>37</v>
      </c>
      <c r="C75" s="21" t="s">
        <v>38</v>
      </c>
      <c r="D75" s="32" t="s">
        <v>14</v>
      </c>
      <c r="E75" s="32"/>
      <c r="F75" s="33" t="s">
        <v>148</v>
      </c>
      <c r="G75" s="24">
        <v>44451.0</v>
      </c>
      <c r="H75" s="21" t="s">
        <v>39</v>
      </c>
      <c r="I75" s="21" t="s">
        <v>39</v>
      </c>
      <c r="J75" s="12" t="s">
        <v>40</v>
      </c>
      <c r="K75" s="21" t="s">
        <v>182</v>
      </c>
      <c r="L75" s="21" t="s">
        <v>101</v>
      </c>
      <c r="M75" s="21"/>
    </row>
    <row r="76" hidden="1">
      <c r="A76" s="38">
        <v>1247.0</v>
      </c>
      <c r="B76" s="16" t="s">
        <v>183</v>
      </c>
      <c r="C76" s="16" t="s">
        <v>184</v>
      </c>
      <c r="D76" s="15"/>
      <c r="E76" s="15"/>
      <c r="F76" s="38" t="s">
        <v>80</v>
      </c>
      <c r="G76" s="25"/>
      <c r="H76" s="16" t="s">
        <v>17</v>
      </c>
      <c r="I76" s="16" t="s">
        <v>81</v>
      </c>
      <c r="J76" s="16" t="s">
        <v>21</v>
      </c>
      <c r="K76" s="28">
        <v>7.2</v>
      </c>
      <c r="L76" s="28"/>
      <c r="M76" s="28"/>
    </row>
    <row r="77" hidden="1">
      <c r="A77" s="39">
        <v>1253.0</v>
      </c>
      <c r="B77" s="39" t="s">
        <v>185</v>
      </c>
      <c r="C77" s="39" t="s">
        <v>186</v>
      </c>
      <c r="D77" s="39" t="s">
        <v>187</v>
      </c>
      <c r="E77" s="39"/>
      <c r="F77" s="39"/>
      <c r="G77" s="27">
        <v>44481.0</v>
      </c>
      <c r="H77" s="39" t="s">
        <v>60</v>
      </c>
      <c r="I77" s="39" t="s">
        <v>45</v>
      </c>
      <c r="J77" s="39"/>
      <c r="K77" s="39" t="s">
        <v>188</v>
      </c>
      <c r="L77" s="39"/>
      <c r="M77" s="39"/>
    </row>
    <row r="78">
      <c r="A78" s="38">
        <v>1305.0</v>
      </c>
      <c r="B78" s="16" t="s">
        <v>37</v>
      </c>
      <c r="C78" s="16" t="s">
        <v>38</v>
      </c>
      <c r="D78" s="38" t="s">
        <v>35</v>
      </c>
      <c r="E78" s="38"/>
      <c r="F78" s="38"/>
      <c r="G78" s="25">
        <v>44482.0</v>
      </c>
      <c r="H78" s="16" t="s">
        <v>39</v>
      </c>
      <c r="I78" s="16" t="s">
        <v>39</v>
      </c>
      <c r="J78" s="12" t="s">
        <v>40</v>
      </c>
      <c r="K78" s="16" t="s">
        <v>189</v>
      </c>
      <c r="L78" s="16"/>
      <c r="M78" s="41">
        <v>44774.0</v>
      </c>
    </row>
    <row r="79" hidden="1">
      <c r="A79" s="39">
        <v>1345.0</v>
      </c>
      <c r="B79" s="39" t="s">
        <v>190</v>
      </c>
      <c r="C79" s="39" t="s">
        <v>191</v>
      </c>
      <c r="D79" s="39" t="s">
        <v>35</v>
      </c>
      <c r="E79" s="39"/>
      <c r="F79" s="39"/>
      <c r="G79" s="27">
        <v>44509.0</v>
      </c>
      <c r="H79" s="39" t="s">
        <v>48</v>
      </c>
      <c r="I79" s="39" t="s">
        <v>16</v>
      </c>
      <c r="J79" s="39" t="s">
        <v>18</v>
      </c>
      <c r="K79" s="26"/>
      <c r="L79" s="26"/>
      <c r="M79" s="26"/>
    </row>
    <row r="80">
      <c r="A80" s="38">
        <v>1277.0</v>
      </c>
      <c r="B80" s="16" t="s">
        <v>37</v>
      </c>
      <c r="C80" s="16" t="s">
        <v>38</v>
      </c>
      <c r="D80" s="16" t="s">
        <v>14</v>
      </c>
      <c r="E80" s="16"/>
      <c r="F80" s="38" t="s">
        <v>192</v>
      </c>
      <c r="G80" s="42">
        <v>44470.0</v>
      </c>
      <c r="H80" s="16" t="s">
        <v>39</v>
      </c>
      <c r="I80" s="16" t="s">
        <v>39</v>
      </c>
      <c r="J80" s="12" t="s">
        <v>40</v>
      </c>
      <c r="K80" s="16" t="s">
        <v>193</v>
      </c>
      <c r="L80" s="16"/>
      <c r="M80" s="41">
        <v>44805.0</v>
      </c>
    </row>
    <row r="81">
      <c r="A81" s="39">
        <v>1323.0</v>
      </c>
      <c r="B81" s="21" t="s">
        <v>37</v>
      </c>
      <c r="C81" s="21" t="s">
        <v>38</v>
      </c>
      <c r="D81" s="21" t="s">
        <v>14</v>
      </c>
      <c r="E81" s="21"/>
      <c r="F81" s="39" t="s">
        <v>192</v>
      </c>
      <c r="G81" s="43">
        <v>44502.0</v>
      </c>
      <c r="H81" s="21" t="s">
        <v>39</v>
      </c>
      <c r="I81" s="21" t="s">
        <v>39</v>
      </c>
      <c r="J81" s="12" t="s">
        <v>40</v>
      </c>
      <c r="K81" s="21" t="s">
        <v>193</v>
      </c>
      <c r="L81" s="26"/>
      <c r="M81" s="44">
        <v>44805.0</v>
      </c>
    </row>
    <row r="82">
      <c r="A82" s="38">
        <v>1325.0</v>
      </c>
      <c r="B82" s="16" t="s">
        <v>37</v>
      </c>
      <c r="C82" s="16" t="s">
        <v>38</v>
      </c>
      <c r="D82" s="16" t="s">
        <v>14</v>
      </c>
      <c r="E82" s="16"/>
      <c r="F82" s="38" t="s">
        <v>192</v>
      </c>
      <c r="G82" s="42">
        <v>44502.0</v>
      </c>
      <c r="H82" s="16" t="s">
        <v>39</v>
      </c>
      <c r="I82" s="16" t="s">
        <v>39</v>
      </c>
      <c r="J82" s="12" t="s">
        <v>40</v>
      </c>
      <c r="K82" s="16" t="s">
        <v>194</v>
      </c>
      <c r="L82" s="16" t="s">
        <v>195</v>
      </c>
      <c r="M82" s="15"/>
    </row>
    <row r="83">
      <c r="A83" s="39">
        <v>1329.0</v>
      </c>
      <c r="B83" s="21" t="s">
        <v>37</v>
      </c>
      <c r="C83" s="21" t="s">
        <v>38</v>
      </c>
      <c r="D83" s="21" t="s">
        <v>14</v>
      </c>
      <c r="E83" s="21"/>
      <c r="F83" s="39" t="s">
        <v>192</v>
      </c>
      <c r="G83" s="43">
        <v>44503.0</v>
      </c>
      <c r="H83" s="21" t="s">
        <v>39</v>
      </c>
      <c r="I83" s="21" t="s">
        <v>39</v>
      </c>
      <c r="J83" s="12" t="s">
        <v>40</v>
      </c>
      <c r="K83" s="21" t="s">
        <v>196</v>
      </c>
      <c r="L83" s="21"/>
      <c r="M83" s="44">
        <v>44835.0</v>
      </c>
    </row>
    <row r="84">
      <c r="A84" s="38">
        <v>1331.0</v>
      </c>
      <c r="B84" s="16" t="s">
        <v>37</v>
      </c>
      <c r="C84" s="16" t="s">
        <v>38</v>
      </c>
      <c r="D84" s="16" t="s">
        <v>14</v>
      </c>
      <c r="E84" s="16"/>
      <c r="F84" s="38" t="s">
        <v>192</v>
      </c>
      <c r="G84" s="42">
        <v>44503.0</v>
      </c>
      <c r="H84" s="16" t="s">
        <v>39</v>
      </c>
      <c r="I84" s="16" t="s">
        <v>39</v>
      </c>
      <c r="J84" s="12" t="s">
        <v>40</v>
      </c>
      <c r="K84" s="16" t="s">
        <v>194</v>
      </c>
      <c r="L84" s="16" t="s">
        <v>195</v>
      </c>
      <c r="M84" s="15"/>
    </row>
    <row r="85">
      <c r="A85" s="39">
        <v>1337.0</v>
      </c>
      <c r="B85" s="21" t="s">
        <v>37</v>
      </c>
      <c r="C85" s="21" t="s">
        <v>38</v>
      </c>
      <c r="D85" s="21" t="s">
        <v>14</v>
      </c>
      <c r="E85" s="21"/>
      <c r="F85" s="39" t="s">
        <v>192</v>
      </c>
      <c r="G85" s="43">
        <v>44505.0</v>
      </c>
      <c r="H85" s="21" t="s">
        <v>39</v>
      </c>
      <c r="I85" s="21" t="s">
        <v>39</v>
      </c>
      <c r="J85" s="12" t="s">
        <v>40</v>
      </c>
      <c r="K85" s="21" t="s">
        <v>194</v>
      </c>
      <c r="L85" s="21" t="s">
        <v>197</v>
      </c>
      <c r="M85" s="21"/>
    </row>
    <row r="86">
      <c r="A86" s="38">
        <v>1347.0</v>
      </c>
      <c r="B86" s="16" t="s">
        <v>37</v>
      </c>
      <c r="C86" s="16" t="s">
        <v>38</v>
      </c>
      <c r="D86" s="16" t="s">
        <v>14</v>
      </c>
      <c r="E86" s="16"/>
      <c r="F86" s="38" t="s">
        <v>192</v>
      </c>
      <c r="G86" s="42">
        <v>44512.0</v>
      </c>
      <c r="H86" s="16" t="s">
        <v>39</v>
      </c>
      <c r="I86" s="16" t="s">
        <v>39</v>
      </c>
      <c r="J86" s="12" t="s">
        <v>40</v>
      </c>
      <c r="K86" s="16" t="s">
        <v>194</v>
      </c>
      <c r="L86" s="16" t="s">
        <v>198</v>
      </c>
      <c r="M86" s="16"/>
    </row>
    <row r="87">
      <c r="A87" s="39">
        <v>1351.0</v>
      </c>
      <c r="B87" s="21" t="s">
        <v>37</v>
      </c>
      <c r="C87" s="21" t="s">
        <v>38</v>
      </c>
      <c r="D87" s="21" t="s">
        <v>14</v>
      </c>
      <c r="E87" s="21"/>
      <c r="F87" s="39" t="s">
        <v>192</v>
      </c>
      <c r="G87" s="43">
        <v>44515.0</v>
      </c>
      <c r="H87" s="21" t="s">
        <v>39</v>
      </c>
      <c r="I87" s="21" t="s">
        <v>39</v>
      </c>
      <c r="J87" s="12" t="s">
        <v>40</v>
      </c>
      <c r="K87" s="21" t="s">
        <v>189</v>
      </c>
      <c r="L87" s="26"/>
      <c r="M87" s="26"/>
    </row>
    <row r="88" hidden="1">
      <c r="A88" s="38">
        <v>1357.0</v>
      </c>
      <c r="B88" s="38" t="s">
        <v>199</v>
      </c>
      <c r="C88" s="38" t="s">
        <v>200</v>
      </c>
      <c r="D88" s="15"/>
      <c r="E88" s="15"/>
      <c r="F88" s="15"/>
      <c r="G88" s="25">
        <v>44518.0</v>
      </c>
      <c r="H88" s="38" t="s">
        <v>36</v>
      </c>
      <c r="I88" s="38" t="s">
        <v>17</v>
      </c>
      <c r="J88" s="38" t="s">
        <v>18</v>
      </c>
      <c r="K88" s="15"/>
      <c r="L88" s="15"/>
      <c r="M88" s="15"/>
    </row>
    <row r="89" hidden="1">
      <c r="A89" s="39">
        <v>1359.0</v>
      </c>
      <c r="B89" s="39" t="s">
        <v>201</v>
      </c>
      <c r="C89" s="39" t="s">
        <v>202</v>
      </c>
      <c r="D89" s="26"/>
      <c r="E89" s="26"/>
      <c r="F89" s="26"/>
      <c r="G89" s="27">
        <v>44519.0</v>
      </c>
      <c r="H89" s="39" t="s">
        <v>60</v>
      </c>
      <c r="I89" s="39" t="s">
        <v>51</v>
      </c>
      <c r="J89" s="39" t="s">
        <v>18</v>
      </c>
      <c r="K89" s="26"/>
      <c r="L89" s="26"/>
      <c r="M89" s="26"/>
    </row>
    <row r="90" hidden="1">
      <c r="A90" s="38">
        <v>1361.0</v>
      </c>
      <c r="B90" s="38" t="s">
        <v>203</v>
      </c>
      <c r="C90" s="38" t="s">
        <v>204</v>
      </c>
      <c r="D90" s="15"/>
      <c r="E90" s="15"/>
      <c r="F90" s="15"/>
      <c r="G90" s="25">
        <v>44529.0</v>
      </c>
      <c r="H90" s="38" t="s">
        <v>160</v>
      </c>
      <c r="I90" s="38" t="s">
        <v>17</v>
      </c>
      <c r="J90" s="38" t="s">
        <v>18</v>
      </c>
      <c r="K90" s="15"/>
      <c r="L90" s="15"/>
      <c r="M90" s="15"/>
    </row>
    <row r="91" hidden="1">
      <c r="A91" s="39">
        <v>1363.0</v>
      </c>
      <c r="B91" s="21" t="s">
        <v>205</v>
      </c>
      <c r="C91" s="21" t="s">
        <v>206</v>
      </c>
      <c r="D91" s="21" t="s">
        <v>14</v>
      </c>
      <c r="E91" s="21"/>
      <c r="F91" s="23" t="s">
        <v>207</v>
      </c>
      <c r="G91" s="43">
        <v>44529.0</v>
      </c>
      <c r="H91" s="21" t="s">
        <v>45</v>
      </c>
      <c r="I91" s="21" t="s">
        <v>17</v>
      </c>
      <c r="J91" s="21" t="s">
        <v>208</v>
      </c>
      <c r="K91" s="21" t="s">
        <v>209</v>
      </c>
      <c r="L91" s="21"/>
      <c r="M91" s="21"/>
    </row>
    <row r="92">
      <c r="A92" s="38">
        <v>1365.0</v>
      </c>
      <c r="B92" s="16" t="s">
        <v>37</v>
      </c>
      <c r="C92" s="16" t="s">
        <v>38</v>
      </c>
      <c r="D92" s="16" t="s">
        <v>14</v>
      </c>
      <c r="E92" s="16"/>
      <c r="F92" s="37" t="s">
        <v>207</v>
      </c>
      <c r="G92" s="42">
        <v>44529.0</v>
      </c>
      <c r="H92" s="16" t="s">
        <v>39</v>
      </c>
      <c r="I92" s="16" t="s">
        <v>39</v>
      </c>
      <c r="J92" s="29" t="s">
        <v>144</v>
      </c>
      <c r="K92" s="16" t="s">
        <v>210</v>
      </c>
      <c r="L92" s="16"/>
      <c r="M92" s="45">
        <v>44774.0</v>
      </c>
    </row>
    <row r="93">
      <c r="A93" s="39">
        <v>1367.0</v>
      </c>
      <c r="B93" s="21" t="s">
        <v>37</v>
      </c>
      <c r="C93" s="21" t="s">
        <v>38</v>
      </c>
      <c r="D93" s="21" t="s">
        <v>14</v>
      </c>
      <c r="E93" s="21"/>
      <c r="F93" s="23" t="s">
        <v>207</v>
      </c>
      <c r="G93" s="43">
        <v>44529.0</v>
      </c>
      <c r="H93" s="21" t="s">
        <v>39</v>
      </c>
      <c r="I93" s="21" t="s">
        <v>39</v>
      </c>
      <c r="J93" s="29" t="s">
        <v>144</v>
      </c>
      <c r="K93" s="21" t="s">
        <v>211</v>
      </c>
      <c r="L93" s="21"/>
      <c r="M93" s="21"/>
    </row>
    <row r="94">
      <c r="A94" s="38">
        <v>1369.0</v>
      </c>
      <c r="B94" s="16" t="s">
        <v>37</v>
      </c>
      <c r="C94" s="16" t="s">
        <v>38</v>
      </c>
      <c r="D94" s="16" t="s">
        <v>14</v>
      </c>
      <c r="E94" s="16"/>
      <c r="F94" s="37" t="s">
        <v>207</v>
      </c>
      <c r="G94" s="42">
        <v>44530.0</v>
      </c>
      <c r="H94" s="16" t="s">
        <v>39</v>
      </c>
      <c r="I94" s="16" t="s">
        <v>39</v>
      </c>
      <c r="J94" s="29" t="s">
        <v>144</v>
      </c>
      <c r="K94" s="16" t="s">
        <v>210</v>
      </c>
      <c r="L94" s="16"/>
      <c r="M94" s="16"/>
    </row>
    <row r="95" hidden="1">
      <c r="A95" s="39">
        <v>1371.0</v>
      </c>
      <c r="B95" s="21" t="s">
        <v>212</v>
      </c>
      <c r="C95" s="21" t="s">
        <v>213</v>
      </c>
      <c r="D95" s="21" t="s">
        <v>14</v>
      </c>
      <c r="E95" s="21"/>
      <c r="F95" s="23" t="s">
        <v>207</v>
      </c>
      <c r="G95" s="43">
        <v>44530.0</v>
      </c>
      <c r="H95" s="21" t="s">
        <v>45</v>
      </c>
      <c r="I95" s="21" t="s">
        <v>17</v>
      </c>
      <c r="J95" s="21" t="s">
        <v>208</v>
      </c>
      <c r="K95" s="21" t="s">
        <v>214</v>
      </c>
      <c r="L95" s="21"/>
      <c r="M95" s="21"/>
    </row>
    <row r="96">
      <c r="A96" s="38">
        <v>1373.0</v>
      </c>
      <c r="B96" s="16" t="s">
        <v>37</v>
      </c>
      <c r="C96" s="16" t="s">
        <v>38</v>
      </c>
      <c r="D96" s="16" t="s">
        <v>14</v>
      </c>
      <c r="E96" s="16"/>
      <c r="F96" s="37" t="s">
        <v>207</v>
      </c>
      <c r="G96" s="42">
        <v>44530.0</v>
      </c>
      <c r="H96" s="16" t="s">
        <v>39</v>
      </c>
      <c r="I96" s="16" t="s">
        <v>39</v>
      </c>
      <c r="J96" s="29" t="s">
        <v>144</v>
      </c>
      <c r="K96" s="16" t="s">
        <v>215</v>
      </c>
      <c r="L96" s="16"/>
      <c r="M96" s="16"/>
    </row>
    <row r="97">
      <c r="A97" s="39">
        <v>1375.0</v>
      </c>
      <c r="B97" s="21" t="s">
        <v>37</v>
      </c>
      <c r="C97" s="21" t="s">
        <v>38</v>
      </c>
      <c r="D97" s="21" t="s">
        <v>14</v>
      </c>
      <c r="E97" s="21"/>
      <c r="F97" s="23" t="s">
        <v>207</v>
      </c>
      <c r="G97" s="43">
        <v>44530.0</v>
      </c>
      <c r="H97" s="21" t="s">
        <v>39</v>
      </c>
      <c r="I97" s="21" t="s">
        <v>39</v>
      </c>
      <c r="J97" s="29" t="s">
        <v>144</v>
      </c>
      <c r="K97" s="21" t="s">
        <v>216</v>
      </c>
      <c r="L97" s="21"/>
      <c r="M97" s="21"/>
    </row>
    <row r="98">
      <c r="A98" s="38">
        <v>1395.0</v>
      </c>
      <c r="B98" s="16" t="s">
        <v>37</v>
      </c>
      <c r="C98" s="16" t="s">
        <v>38</v>
      </c>
      <c r="D98" s="16" t="s">
        <v>14</v>
      </c>
      <c r="E98" s="16"/>
      <c r="F98" s="37" t="s">
        <v>207</v>
      </c>
      <c r="G98" s="42">
        <v>44541.0</v>
      </c>
      <c r="H98" s="16" t="s">
        <v>39</v>
      </c>
      <c r="I98" s="16" t="s">
        <v>39</v>
      </c>
      <c r="J98" s="12" t="s">
        <v>40</v>
      </c>
      <c r="K98" s="16" t="s">
        <v>217</v>
      </c>
      <c r="L98" s="16"/>
      <c r="M98" s="46">
        <v>44774.0</v>
      </c>
    </row>
    <row r="99">
      <c r="A99" s="39">
        <v>1377.0</v>
      </c>
      <c r="B99" s="21" t="s">
        <v>37</v>
      </c>
      <c r="C99" s="21" t="s">
        <v>38</v>
      </c>
      <c r="D99" s="39" t="s">
        <v>163</v>
      </c>
      <c r="E99" s="39"/>
      <c r="F99" s="39"/>
      <c r="G99" s="27">
        <v>44530.0</v>
      </c>
      <c r="H99" s="21" t="s">
        <v>39</v>
      </c>
      <c r="I99" s="21" t="s">
        <v>39</v>
      </c>
      <c r="J99" s="12" t="s">
        <v>40</v>
      </c>
      <c r="K99" s="21" t="s">
        <v>218</v>
      </c>
      <c r="L99" s="21"/>
      <c r="M99" s="21"/>
    </row>
    <row r="100">
      <c r="A100" s="38">
        <v>1381.0</v>
      </c>
      <c r="B100" s="16" t="s">
        <v>37</v>
      </c>
      <c r="C100" s="16" t="s">
        <v>38</v>
      </c>
      <c r="D100" s="38" t="s">
        <v>163</v>
      </c>
      <c r="E100" s="38"/>
      <c r="F100" s="38"/>
      <c r="G100" s="25">
        <v>44535.0</v>
      </c>
      <c r="H100" s="16" t="s">
        <v>39</v>
      </c>
      <c r="I100" s="16" t="s">
        <v>39</v>
      </c>
      <c r="J100" s="12" t="s">
        <v>40</v>
      </c>
      <c r="K100" s="16" t="s">
        <v>219</v>
      </c>
      <c r="L100" s="16"/>
      <c r="M100" s="16"/>
    </row>
    <row r="101" hidden="1">
      <c r="A101" s="39">
        <v>1379.0</v>
      </c>
      <c r="B101" s="39" t="s">
        <v>220</v>
      </c>
      <c r="C101" s="39" t="s">
        <v>221</v>
      </c>
      <c r="D101" s="39" t="s">
        <v>35</v>
      </c>
      <c r="E101" s="39"/>
      <c r="F101" s="39"/>
      <c r="G101" s="27">
        <v>44531.0</v>
      </c>
      <c r="H101" s="39" t="s">
        <v>16</v>
      </c>
      <c r="I101" s="39" t="s">
        <v>48</v>
      </c>
      <c r="J101" s="39" t="s">
        <v>18</v>
      </c>
      <c r="K101" s="26"/>
      <c r="L101" s="26"/>
      <c r="M101" s="26"/>
    </row>
    <row r="102" hidden="1">
      <c r="A102" s="38">
        <v>1391.0</v>
      </c>
      <c r="B102" s="38" t="s">
        <v>222</v>
      </c>
      <c r="C102" s="38" t="s">
        <v>223</v>
      </c>
      <c r="D102" s="38" t="s">
        <v>35</v>
      </c>
      <c r="E102" s="38"/>
      <c r="F102" s="38"/>
      <c r="G102" s="25">
        <v>44538.0</v>
      </c>
      <c r="H102" s="38" t="s">
        <v>51</v>
      </c>
      <c r="I102" s="38" t="s">
        <v>48</v>
      </c>
      <c r="J102" s="16" t="s">
        <v>115</v>
      </c>
      <c r="K102" s="16" t="s">
        <v>116</v>
      </c>
      <c r="L102" s="16"/>
      <c r="M102" s="16"/>
    </row>
    <row r="103">
      <c r="A103" s="39">
        <v>1403.0</v>
      </c>
      <c r="B103" s="21" t="s">
        <v>37</v>
      </c>
      <c r="C103" s="21" t="s">
        <v>38</v>
      </c>
      <c r="D103" s="39" t="s">
        <v>14</v>
      </c>
      <c r="E103" s="39"/>
      <c r="F103" s="39" t="s">
        <v>224</v>
      </c>
      <c r="G103" s="47">
        <v>44553.0</v>
      </c>
      <c r="H103" s="21" t="s">
        <v>39</v>
      </c>
      <c r="I103" s="21" t="s">
        <v>39</v>
      </c>
      <c r="J103" s="29" t="s">
        <v>144</v>
      </c>
      <c r="K103" s="21" t="s">
        <v>225</v>
      </c>
      <c r="L103" s="21"/>
      <c r="M103" s="44">
        <v>44774.0</v>
      </c>
    </row>
    <row r="104">
      <c r="A104" s="38">
        <v>1413.0</v>
      </c>
      <c r="B104" s="16" t="s">
        <v>37</v>
      </c>
      <c r="C104" s="16" t="s">
        <v>38</v>
      </c>
      <c r="D104" s="38" t="s">
        <v>14</v>
      </c>
      <c r="E104" s="38"/>
      <c r="F104" s="38" t="s">
        <v>224</v>
      </c>
      <c r="G104" s="30">
        <v>44557.0</v>
      </c>
      <c r="H104" s="16" t="s">
        <v>39</v>
      </c>
      <c r="I104" s="16" t="s">
        <v>39</v>
      </c>
      <c r="J104" s="29" t="s">
        <v>144</v>
      </c>
      <c r="K104" s="16" t="s">
        <v>226</v>
      </c>
      <c r="L104" s="16"/>
      <c r="M104" s="16"/>
    </row>
    <row r="105">
      <c r="A105" s="39">
        <v>1419.0</v>
      </c>
      <c r="B105" s="21" t="s">
        <v>37</v>
      </c>
      <c r="C105" s="21" t="s">
        <v>38</v>
      </c>
      <c r="D105" s="39" t="s">
        <v>14</v>
      </c>
      <c r="E105" s="39"/>
      <c r="F105" s="39" t="s">
        <v>224</v>
      </c>
      <c r="G105" s="24">
        <v>44561.0</v>
      </c>
      <c r="H105" s="21" t="s">
        <v>39</v>
      </c>
      <c r="I105" s="21" t="s">
        <v>39</v>
      </c>
      <c r="J105" s="29" t="s">
        <v>144</v>
      </c>
      <c r="K105" s="21" t="s">
        <v>227</v>
      </c>
      <c r="L105" s="21"/>
      <c r="M105" s="44">
        <v>44774.0</v>
      </c>
    </row>
    <row r="106">
      <c r="A106" s="38">
        <v>1421.0</v>
      </c>
      <c r="B106" s="16" t="s">
        <v>37</v>
      </c>
      <c r="C106" s="16" t="s">
        <v>38</v>
      </c>
      <c r="D106" s="38" t="s">
        <v>14</v>
      </c>
      <c r="E106" s="38"/>
      <c r="F106" s="38" t="s">
        <v>224</v>
      </c>
      <c r="G106" s="30">
        <v>44561.0</v>
      </c>
      <c r="H106" s="16" t="s">
        <v>39</v>
      </c>
      <c r="I106" s="16" t="s">
        <v>39</v>
      </c>
      <c r="J106" s="29" t="s">
        <v>144</v>
      </c>
      <c r="K106" s="16" t="s">
        <v>228</v>
      </c>
      <c r="L106" s="16"/>
      <c r="M106" s="16"/>
    </row>
    <row r="107">
      <c r="A107" s="39">
        <v>1445.0</v>
      </c>
      <c r="B107" s="21" t="s">
        <v>37</v>
      </c>
      <c r="C107" s="21" t="s">
        <v>38</v>
      </c>
      <c r="D107" s="39" t="s">
        <v>14</v>
      </c>
      <c r="E107" s="39"/>
      <c r="F107" s="39" t="s">
        <v>224</v>
      </c>
      <c r="G107" s="24">
        <v>44574.0</v>
      </c>
      <c r="H107" s="21" t="s">
        <v>39</v>
      </c>
      <c r="I107" s="21" t="s">
        <v>39</v>
      </c>
      <c r="J107" s="29" t="s">
        <v>144</v>
      </c>
      <c r="K107" s="21" t="s">
        <v>229</v>
      </c>
      <c r="L107" s="21"/>
      <c r="M107" s="21"/>
    </row>
    <row r="108">
      <c r="A108" s="38">
        <v>1451.0</v>
      </c>
      <c r="B108" s="16" t="s">
        <v>37</v>
      </c>
      <c r="C108" s="16" t="s">
        <v>38</v>
      </c>
      <c r="D108" s="38" t="s">
        <v>14</v>
      </c>
      <c r="E108" s="38"/>
      <c r="F108" s="38" t="s">
        <v>224</v>
      </c>
      <c r="G108" s="30">
        <v>44580.0</v>
      </c>
      <c r="H108" s="16" t="s">
        <v>39</v>
      </c>
      <c r="I108" s="16" t="s">
        <v>39</v>
      </c>
      <c r="J108" s="29" t="s">
        <v>144</v>
      </c>
      <c r="K108" s="16" t="s">
        <v>230</v>
      </c>
      <c r="L108" s="16"/>
      <c r="M108" s="16"/>
    </row>
    <row r="109">
      <c r="A109" s="39">
        <v>1469.0</v>
      </c>
      <c r="B109" s="21" t="s">
        <v>37</v>
      </c>
      <c r="C109" s="21" t="s">
        <v>38</v>
      </c>
      <c r="D109" s="39" t="s">
        <v>14</v>
      </c>
      <c r="E109" s="39"/>
      <c r="F109" s="39" t="s">
        <v>224</v>
      </c>
      <c r="G109" s="24">
        <v>44587.0</v>
      </c>
      <c r="H109" s="21" t="s">
        <v>39</v>
      </c>
      <c r="I109" s="21" t="s">
        <v>39</v>
      </c>
      <c r="J109" s="29" t="s">
        <v>144</v>
      </c>
      <c r="K109" s="21" t="s">
        <v>231</v>
      </c>
      <c r="L109" s="21"/>
      <c r="M109" s="21"/>
    </row>
    <row r="110" hidden="1">
      <c r="A110" s="38">
        <v>1453.0</v>
      </c>
      <c r="B110" s="38" t="s">
        <v>232</v>
      </c>
      <c r="C110" s="38" t="s">
        <v>233</v>
      </c>
      <c r="D110" s="38" t="s">
        <v>35</v>
      </c>
      <c r="E110" s="38"/>
      <c r="F110" s="15"/>
      <c r="G110" s="30">
        <v>44582.0</v>
      </c>
      <c r="H110" s="38" t="s">
        <v>16</v>
      </c>
      <c r="I110" s="38" t="s">
        <v>60</v>
      </c>
      <c r="J110" s="38" t="s">
        <v>18</v>
      </c>
      <c r="K110" s="16"/>
      <c r="L110" s="16"/>
      <c r="M110" s="16"/>
    </row>
    <row r="111" hidden="1">
      <c r="A111" s="39">
        <v>1459.0</v>
      </c>
      <c r="B111" s="39" t="s">
        <v>234</v>
      </c>
      <c r="C111" s="39" t="s">
        <v>235</v>
      </c>
      <c r="D111" s="39" t="s">
        <v>35</v>
      </c>
      <c r="E111" s="39"/>
      <c r="F111" s="26"/>
      <c r="G111" s="24">
        <v>44585.0</v>
      </c>
      <c r="H111" s="39" t="s">
        <v>48</v>
      </c>
      <c r="I111" s="39" t="s">
        <v>36</v>
      </c>
      <c r="J111" s="39" t="s">
        <v>18</v>
      </c>
      <c r="K111" s="26"/>
      <c r="L111" s="26"/>
      <c r="M111" s="26"/>
    </row>
    <row r="112" hidden="1">
      <c r="A112" s="38">
        <v>1461.0</v>
      </c>
      <c r="B112" s="38" t="s">
        <v>236</v>
      </c>
      <c r="C112" s="38" t="s">
        <v>237</v>
      </c>
      <c r="D112" s="38" t="s">
        <v>142</v>
      </c>
      <c r="E112" s="38"/>
      <c r="F112" s="15"/>
      <c r="G112" s="30">
        <v>44592.0</v>
      </c>
      <c r="H112" s="38" t="s">
        <v>48</v>
      </c>
      <c r="I112" s="38" t="s">
        <v>51</v>
      </c>
      <c r="J112" s="16" t="s">
        <v>21</v>
      </c>
      <c r="K112" s="28">
        <v>8.1</v>
      </c>
      <c r="L112" s="28"/>
      <c r="M112" s="28"/>
    </row>
    <row r="113" hidden="1">
      <c r="A113" s="39">
        <v>1483.0</v>
      </c>
      <c r="B113" s="39" t="s">
        <v>238</v>
      </c>
      <c r="C113" s="39" t="s">
        <v>239</v>
      </c>
      <c r="D113" s="39" t="s">
        <v>35</v>
      </c>
      <c r="E113" s="39"/>
      <c r="F113" s="26"/>
      <c r="G113" s="24">
        <v>44598.0</v>
      </c>
      <c r="H113" s="21" t="s">
        <v>77</v>
      </c>
      <c r="I113" s="21" t="s">
        <v>36</v>
      </c>
      <c r="J113" s="21" t="s">
        <v>18</v>
      </c>
      <c r="K113" s="26"/>
      <c r="L113" s="26"/>
      <c r="M113" s="26"/>
    </row>
    <row r="114">
      <c r="A114" s="38">
        <v>1491.0</v>
      </c>
      <c r="B114" s="16" t="s">
        <v>37</v>
      </c>
      <c r="C114" s="16" t="s">
        <v>38</v>
      </c>
      <c r="D114" s="38" t="s">
        <v>14</v>
      </c>
      <c r="E114" s="38"/>
      <c r="F114" s="38" t="s">
        <v>180</v>
      </c>
      <c r="G114" s="30">
        <v>44602.0</v>
      </c>
      <c r="H114" s="16" t="s">
        <v>39</v>
      </c>
      <c r="I114" s="16" t="s">
        <v>39</v>
      </c>
      <c r="J114" s="12" t="s">
        <v>40</v>
      </c>
      <c r="K114" s="16" t="s">
        <v>240</v>
      </c>
      <c r="L114" s="16"/>
      <c r="M114" s="16"/>
    </row>
    <row r="115" hidden="1">
      <c r="A115" s="39">
        <v>1497.0</v>
      </c>
      <c r="B115" s="39" t="s">
        <v>241</v>
      </c>
      <c r="C115" s="39" t="s">
        <v>242</v>
      </c>
      <c r="D115" s="39" t="s">
        <v>14</v>
      </c>
      <c r="E115" s="39"/>
      <c r="F115" s="39" t="s">
        <v>243</v>
      </c>
      <c r="G115" s="24">
        <v>44608.0</v>
      </c>
      <c r="H115" s="39" t="s">
        <v>51</v>
      </c>
      <c r="I115" s="21" t="s">
        <v>36</v>
      </c>
      <c r="J115" s="21" t="s">
        <v>18</v>
      </c>
      <c r="K115" s="21"/>
      <c r="L115" s="21"/>
      <c r="M115" s="21"/>
    </row>
    <row r="116" hidden="1">
      <c r="A116" s="16">
        <v>1511.0</v>
      </c>
      <c r="B116" s="16" t="s">
        <v>244</v>
      </c>
      <c r="C116" s="16" t="s">
        <v>245</v>
      </c>
      <c r="D116" s="38" t="s">
        <v>14</v>
      </c>
      <c r="E116" s="38"/>
      <c r="F116" s="38" t="s">
        <v>243</v>
      </c>
      <c r="G116" s="48">
        <v>44610.0</v>
      </c>
      <c r="H116" s="16" t="s">
        <v>51</v>
      </c>
      <c r="I116" s="16" t="s">
        <v>36</v>
      </c>
      <c r="J116" s="16" t="s">
        <v>18</v>
      </c>
      <c r="K116" s="16"/>
      <c r="L116" s="16"/>
      <c r="M116" s="16"/>
    </row>
    <row r="117">
      <c r="A117" s="21">
        <v>1517.0</v>
      </c>
      <c r="B117" s="21" t="s">
        <v>37</v>
      </c>
      <c r="C117" s="21" t="s">
        <v>38</v>
      </c>
      <c r="D117" s="39" t="s">
        <v>14</v>
      </c>
      <c r="E117" s="39"/>
      <c r="F117" s="39" t="s">
        <v>243</v>
      </c>
      <c r="G117" s="49"/>
      <c r="H117" s="21" t="s">
        <v>39</v>
      </c>
      <c r="I117" s="21" t="s">
        <v>39</v>
      </c>
      <c r="J117" s="29" t="s">
        <v>144</v>
      </c>
      <c r="K117" s="21" t="s">
        <v>231</v>
      </c>
      <c r="L117" s="21"/>
      <c r="M117" s="21"/>
    </row>
    <row r="118" hidden="1">
      <c r="A118" s="16">
        <v>1489.0</v>
      </c>
      <c r="B118" s="16" t="s">
        <v>246</v>
      </c>
      <c r="C118" s="16" t="s">
        <v>247</v>
      </c>
      <c r="D118" s="16" t="s">
        <v>35</v>
      </c>
      <c r="E118" s="16"/>
      <c r="F118" s="15"/>
      <c r="G118" s="48">
        <v>44617.0</v>
      </c>
      <c r="H118" s="16" t="s">
        <v>16</v>
      </c>
      <c r="I118" s="16" t="s">
        <v>17</v>
      </c>
      <c r="J118" s="16" t="s">
        <v>18</v>
      </c>
      <c r="K118" s="50"/>
      <c r="L118" s="50"/>
      <c r="M118" s="50"/>
    </row>
    <row r="119" hidden="1">
      <c r="A119" s="21">
        <v>1533.0</v>
      </c>
      <c r="B119" s="21" t="s">
        <v>248</v>
      </c>
      <c r="C119" s="21" t="s">
        <v>249</v>
      </c>
      <c r="D119" s="21" t="s">
        <v>163</v>
      </c>
      <c r="E119" s="21"/>
      <c r="F119" s="26"/>
      <c r="G119" s="47">
        <v>44620.0</v>
      </c>
      <c r="H119" s="21" t="s">
        <v>16</v>
      </c>
      <c r="I119" s="21" t="s">
        <v>17</v>
      </c>
      <c r="J119" s="21" t="s">
        <v>18</v>
      </c>
      <c r="K119" s="51"/>
      <c r="L119" s="51"/>
      <c r="M119" s="51"/>
    </row>
    <row r="120">
      <c r="A120" s="16">
        <v>1547.0</v>
      </c>
      <c r="B120" s="16" t="s">
        <v>37</v>
      </c>
      <c r="C120" s="16" t="s">
        <v>38</v>
      </c>
      <c r="D120" s="16" t="s">
        <v>14</v>
      </c>
      <c r="E120" s="16"/>
      <c r="F120" s="16" t="s">
        <v>243</v>
      </c>
      <c r="G120" s="48">
        <v>44624.0</v>
      </c>
      <c r="H120" s="16" t="s">
        <v>39</v>
      </c>
      <c r="I120" s="16" t="s">
        <v>39</v>
      </c>
      <c r="J120" s="12" t="s">
        <v>40</v>
      </c>
      <c r="K120" s="16" t="s">
        <v>250</v>
      </c>
      <c r="L120" s="16"/>
      <c r="M120" s="16"/>
    </row>
    <row r="121">
      <c r="A121" s="21">
        <v>1555.0</v>
      </c>
      <c r="B121" s="21" t="s">
        <v>37</v>
      </c>
      <c r="C121" s="21" t="s">
        <v>38</v>
      </c>
      <c r="D121" s="21" t="s">
        <v>14</v>
      </c>
      <c r="E121" s="21"/>
      <c r="F121" s="39" t="s">
        <v>243</v>
      </c>
      <c r="G121" s="47">
        <v>44626.0</v>
      </c>
      <c r="H121" s="21" t="s">
        <v>39</v>
      </c>
      <c r="I121" s="21" t="s">
        <v>39</v>
      </c>
      <c r="J121" s="29" t="s">
        <v>144</v>
      </c>
      <c r="K121" s="21" t="s">
        <v>227</v>
      </c>
      <c r="L121" s="21"/>
      <c r="M121" s="21"/>
    </row>
    <row r="122">
      <c r="A122" s="16">
        <v>1529.0</v>
      </c>
      <c r="B122" s="16" t="s">
        <v>37</v>
      </c>
      <c r="C122" s="16" t="s">
        <v>38</v>
      </c>
      <c r="D122" s="16" t="s">
        <v>14</v>
      </c>
      <c r="E122" s="16"/>
      <c r="F122" s="38" t="s">
        <v>243</v>
      </c>
      <c r="G122" s="48">
        <v>44626.0</v>
      </c>
      <c r="H122" s="16" t="s">
        <v>39</v>
      </c>
      <c r="I122" s="16" t="s">
        <v>39</v>
      </c>
      <c r="J122" s="29" t="s">
        <v>144</v>
      </c>
      <c r="K122" s="16" t="s">
        <v>251</v>
      </c>
      <c r="L122" s="16"/>
      <c r="M122" s="16"/>
    </row>
    <row r="123" hidden="1">
      <c r="A123" s="21">
        <v>1577.0</v>
      </c>
      <c r="B123" s="21" t="s">
        <v>252</v>
      </c>
      <c r="C123" s="21" t="s">
        <v>253</v>
      </c>
      <c r="D123" s="21" t="s">
        <v>14</v>
      </c>
      <c r="E123" s="21"/>
      <c r="F123" s="21" t="s">
        <v>148</v>
      </c>
      <c r="G123" s="47">
        <v>44641.0</v>
      </c>
      <c r="H123" s="21" t="s">
        <v>45</v>
      </c>
      <c r="I123" s="21" t="s">
        <v>17</v>
      </c>
      <c r="J123" s="21" t="s">
        <v>208</v>
      </c>
      <c r="K123" s="22" t="s">
        <v>209</v>
      </c>
      <c r="L123" s="22"/>
      <c r="M123" s="22"/>
    </row>
    <row r="124">
      <c r="A124" s="16">
        <v>1595.0</v>
      </c>
      <c r="B124" s="16" t="s">
        <v>37</v>
      </c>
      <c r="C124" s="16" t="s">
        <v>38</v>
      </c>
      <c r="D124" s="16" t="s">
        <v>14</v>
      </c>
      <c r="E124" s="16"/>
      <c r="F124" s="16" t="s">
        <v>254</v>
      </c>
      <c r="G124" s="52">
        <v>44656.0</v>
      </c>
      <c r="H124" s="16" t="s">
        <v>39</v>
      </c>
      <c r="I124" s="16" t="s">
        <v>39</v>
      </c>
      <c r="J124" s="16" t="s">
        <v>255</v>
      </c>
      <c r="K124" s="28" t="s">
        <v>256</v>
      </c>
      <c r="L124" s="28"/>
      <c r="M124" s="28"/>
    </row>
    <row r="125">
      <c r="A125" s="21">
        <v>1605.0</v>
      </c>
      <c r="B125" s="21" t="s">
        <v>37</v>
      </c>
      <c r="C125" s="21" t="s">
        <v>38</v>
      </c>
      <c r="D125" s="21" t="s">
        <v>14</v>
      </c>
      <c r="E125" s="21"/>
      <c r="F125" s="21" t="s">
        <v>243</v>
      </c>
      <c r="G125" s="47">
        <v>44662.0</v>
      </c>
      <c r="H125" s="21" t="s">
        <v>39</v>
      </c>
      <c r="I125" s="21" t="s">
        <v>39</v>
      </c>
      <c r="J125" s="29" t="s">
        <v>144</v>
      </c>
      <c r="K125" s="22" t="s">
        <v>231</v>
      </c>
      <c r="L125" s="51"/>
      <c r="M125" s="51"/>
    </row>
    <row r="126">
      <c r="A126" s="16">
        <v>1611.0</v>
      </c>
      <c r="B126" s="16" t="s">
        <v>37</v>
      </c>
      <c r="C126" s="16" t="s">
        <v>38</v>
      </c>
      <c r="D126" s="16" t="s">
        <v>14</v>
      </c>
      <c r="E126" s="16"/>
      <c r="F126" s="38" t="s">
        <v>243</v>
      </c>
      <c r="G126" s="48">
        <v>44670.0</v>
      </c>
      <c r="H126" s="16" t="s">
        <v>39</v>
      </c>
      <c r="I126" s="16" t="s">
        <v>39</v>
      </c>
      <c r="J126" s="29" t="s">
        <v>144</v>
      </c>
      <c r="K126" s="28" t="s">
        <v>257</v>
      </c>
      <c r="L126" s="50"/>
      <c r="M126" s="50"/>
    </row>
    <row r="127">
      <c r="A127" s="21">
        <v>1627.0</v>
      </c>
      <c r="B127" s="21" t="s">
        <v>37</v>
      </c>
      <c r="C127" s="21" t="s">
        <v>38</v>
      </c>
      <c r="D127" s="21" t="s">
        <v>14</v>
      </c>
      <c r="E127" s="21"/>
      <c r="F127" s="21" t="s">
        <v>254</v>
      </c>
      <c r="G127" s="47">
        <v>44677.0</v>
      </c>
      <c r="H127" s="21" t="s">
        <v>39</v>
      </c>
      <c r="I127" s="21" t="s">
        <v>39</v>
      </c>
      <c r="J127" s="21" t="s">
        <v>255</v>
      </c>
      <c r="K127" s="22" t="s">
        <v>256</v>
      </c>
      <c r="L127" s="22"/>
      <c r="M127" s="22"/>
    </row>
    <row r="128">
      <c r="A128" s="16">
        <v>1637.0</v>
      </c>
      <c r="B128" s="16" t="s">
        <v>37</v>
      </c>
      <c r="C128" s="16" t="s">
        <v>38</v>
      </c>
      <c r="D128" s="16" t="s">
        <v>35</v>
      </c>
      <c r="E128" s="16"/>
      <c r="F128" s="53"/>
      <c r="G128" s="54">
        <v>44683.0</v>
      </c>
      <c r="H128" s="16" t="s">
        <v>39</v>
      </c>
      <c r="I128" s="16" t="s">
        <v>39</v>
      </c>
      <c r="J128" s="29" t="s">
        <v>144</v>
      </c>
      <c r="K128" s="28" t="s">
        <v>258</v>
      </c>
      <c r="L128" s="50"/>
      <c r="M128" s="50"/>
    </row>
    <row r="129">
      <c r="A129" s="21">
        <v>1641.0</v>
      </c>
      <c r="B129" s="21" t="s">
        <v>37</v>
      </c>
      <c r="C129" s="21" t="s">
        <v>259</v>
      </c>
      <c r="D129" s="21" t="s">
        <v>35</v>
      </c>
      <c r="E129" s="21"/>
      <c r="F129" s="55"/>
      <c r="G129" s="56">
        <v>44684.0</v>
      </c>
      <c r="H129" s="21" t="s">
        <v>39</v>
      </c>
      <c r="I129" s="21" t="s">
        <v>39</v>
      </c>
      <c r="J129" s="12" t="s">
        <v>40</v>
      </c>
      <c r="K129" s="22" t="s">
        <v>260</v>
      </c>
      <c r="L129" s="51"/>
      <c r="M129" s="51"/>
    </row>
    <row r="130" hidden="1">
      <c r="A130" s="16">
        <v>1643.0</v>
      </c>
      <c r="B130" s="38" t="s">
        <v>261</v>
      </c>
      <c r="C130" s="16" t="s">
        <v>262</v>
      </c>
      <c r="D130" s="16" t="s">
        <v>142</v>
      </c>
      <c r="E130" s="16"/>
      <c r="F130" s="53"/>
      <c r="G130" s="54">
        <v>44686.0</v>
      </c>
      <c r="H130" s="16" t="s">
        <v>77</v>
      </c>
      <c r="I130" s="16" t="s">
        <v>48</v>
      </c>
      <c r="J130" s="16" t="s">
        <v>18</v>
      </c>
      <c r="K130" s="50"/>
      <c r="L130" s="50"/>
      <c r="M130" s="50"/>
    </row>
    <row r="131">
      <c r="A131" s="21">
        <v>1661.0</v>
      </c>
      <c r="B131" s="21" t="s">
        <v>37</v>
      </c>
      <c r="C131" s="21" t="s">
        <v>259</v>
      </c>
      <c r="D131" s="21" t="s">
        <v>35</v>
      </c>
      <c r="E131" s="21"/>
      <c r="F131" s="55"/>
      <c r="G131" s="57">
        <v>44696.0</v>
      </c>
      <c r="H131" s="21" t="s">
        <v>39</v>
      </c>
      <c r="I131" s="21" t="s">
        <v>39</v>
      </c>
      <c r="J131" s="21" t="s">
        <v>255</v>
      </c>
      <c r="K131" s="22" t="s">
        <v>263</v>
      </c>
      <c r="L131" s="51"/>
      <c r="M131" s="51"/>
    </row>
    <row r="132" hidden="1">
      <c r="A132" s="16">
        <v>1665.0</v>
      </c>
      <c r="B132" s="16" t="s">
        <v>264</v>
      </c>
      <c r="C132" s="16" t="s">
        <v>265</v>
      </c>
      <c r="D132" s="16" t="s">
        <v>142</v>
      </c>
      <c r="E132" s="16"/>
      <c r="F132" s="53"/>
      <c r="G132" s="58">
        <v>44703.0</v>
      </c>
      <c r="H132" s="53"/>
      <c r="I132" s="53"/>
      <c r="J132" s="16" t="s">
        <v>18</v>
      </c>
      <c r="K132" s="50"/>
      <c r="L132" s="50"/>
      <c r="M132" s="50"/>
    </row>
    <row r="133">
      <c r="A133" s="21">
        <v>1703.0</v>
      </c>
      <c r="B133" s="21" t="s">
        <v>37</v>
      </c>
      <c r="C133" s="21" t="s">
        <v>266</v>
      </c>
      <c r="D133" s="21" t="s">
        <v>35</v>
      </c>
      <c r="E133" s="21"/>
      <c r="F133" s="55"/>
      <c r="G133" s="59">
        <v>44719.0</v>
      </c>
      <c r="H133" s="21" t="s">
        <v>39</v>
      </c>
      <c r="I133" s="21" t="s">
        <v>39</v>
      </c>
      <c r="J133" s="21" t="s">
        <v>255</v>
      </c>
      <c r="K133" s="22" t="s">
        <v>267</v>
      </c>
      <c r="L133" s="51"/>
      <c r="M133" s="51"/>
    </row>
    <row r="134">
      <c r="G134" s="60"/>
      <c r="J134" s="61"/>
      <c r="K134" s="62"/>
      <c r="L134" s="62"/>
      <c r="M134" s="62"/>
    </row>
    <row r="135">
      <c r="G135" s="60"/>
      <c r="J135" s="61"/>
      <c r="K135" s="62"/>
      <c r="L135" s="62"/>
      <c r="M135" s="62"/>
    </row>
    <row r="136">
      <c r="G136" s="60"/>
      <c r="J136" s="61"/>
      <c r="K136" s="62"/>
      <c r="L136" s="62"/>
      <c r="M136" s="62"/>
    </row>
    <row r="137">
      <c r="G137" s="60"/>
      <c r="J137" s="61"/>
      <c r="K137" s="62"/>
      <c r="L137" s="62"/>
      <c r="M137" s="62"/>
    </row>
    <row r="138">
      <c r="G138" s="60"/>
      <c r="J138" s="61"/>
      <c r="K138" s="62"/>
      <c r="L138" s="62"/>
      <c r="M138" s="62"/>
    </row>
    <row r="139">
      <c r="G139" s="60"/>
      <c r="J139" s="61"/>
      <c r="K139" s="62"/>
      <c r="L139" s="62"/>
      <c r="M139" s="62"/>
    </row>
    <row r="140">
      <c r="G140" s="60"/>
      <c r="J140" s="61"/>
      <c r="K140" s="62"/>
      <c r="L140" s="62"/>
      <c r="M140" s="62"/>
    </row>
    <row r="141">
      <c r="G141" s="60"/>
      <c r="J141" s="61"/>
      <c r="K141" s="62"/>
      <c r="L141" s="62"/>
      <c r="M141" s="62"/>
    </row>
    <row r="142">
      <c r="G142" s="60"/>
      <c r="J142" s="61"/>
      <c r="K142" s="62"/>
      <c r="L142" s="62"/>
      <c r="M142" s="62"/>
    </row>
    <row r="143">
      <c r="G143" s="60"/>
      <c r="J143" s="61"/>
      <c r="K143" s="62"/>
      <c r="L143" s="62"/>
      <c r="M143" s="62"/>
    </row>
    <row r="144">
      <c r="G144" s="60"/>
      <c r="J144" s="61"/>
      <c r="K144" s="62"/>
      <c r="L144" s="62"/>
      <c r="M144" s="62"/>
    </row>
    <row r="145">
      <c r="G145" s="60"/>
      <c r="J145" s="61"/>
      <c r="K145" s="62"/>
      <c r="L145" s="62"/>
      <c r="M145" s="62"/>
    </row>
    <row r="146">
      <c r="G146" s="60"/>
      <c r="J146" s="61"/>
      <c r="K146" s="62"/>
      <c r="L146" s="62"/>
      <c r="M146" s="62"/>
    </row>
    <row r="147">
      <c r="G147" s="60"/>
      <c r="J147" s="61"/>
      <c r="K147" s="62"/>
      <c r="L147" s="62"/>
      <c r="M147" s="62"/>
    </row>
    <row r="148">
      <c r="G148" s="60"/>
      <c r="J148" s="61"/>
      <c r="K148" s="62"/>
      <c r="L148" s="62"/>
      <c r="M148" s="62"/>
    </row>
    <row r="149">
      <c r="G149" s="60"/>
      <c r="J149" s="61"/>
      <c r="K149" s="62"/>
      <c r="L149" s="62"/>
      <c r="M149" s="62"/>
    </row>
    <row r="150">
      <c r="G150" s="60"/>
      <c r="J150" s="61"/>
      <c r="K150" s="62"/>
      <c r="L150" s="62"/>
      <c r="M150" s="62"/>
    </row>
    <row r="151">
      <c r="G151" s="60"/>
      <c r="J151" s="61"/>
      <c r="K151" s="62"/>
      <c r="L151" s="62"/>
      <c r="M151" s="62"/>
    </row>
    <row r="152">
      <c r="G152" s="60"/>
      <c r="J152" s="61"/>
      <c r="K152" s="62"/>
      <c r="L152" s="62"/>
      <c r="M152" s="62"/>
    </row>
    <row r="153">
      <c r="G153" s="60"/>
      <c r="J153" s="61"/>
      <c r="K153" s="62"/>
      <c r="L153" s="62"/>
      <c r="M153" s="62"/>
    </row>
    <row r="154">
      <c r="G154" s="60"/>
      <c r="J154" s="61"/>
      <c r="K154" s="62"/>
      <c r="L154" s="62"/>
      <c r="M154" s="62"/>
    </row>
    <row r="155">
      <c r="G155" s="60"/>
      <c r="J155" s="61"/>
      <c r="K155" s="62"/>
      <c r="L155" s="62"/>
      <c r="M155" s="62"/>
    </row>
    <row r="156">
      <c r="G156" s="60"/>
      <c r="J156" s="61"/>
      <c r="K156" s="62"/>
      <c r="L156" s="62"/>
      <c r="M156" s="62"/>
    </row>
    <row r="157">
      <c r="G157" s="60"/>
      <c r="J157" s="61"/>
      <c r="K157" s="62"/>
      <c r="L157" s="62"/>
      <c r="M157" s="62"/>
    </row>
    <row r="158">
      <c r="G158" s="60"/>
      <c r="J158" s="61"/>
      <c r="K158" s="62"/>
      <c r="L158" s="62"/>
      <c r="M158" s="62"/>
    </row>
    <row r="159">
      <c r="G159" s="60"/>
      <c r="J159" s="61"/>
      <c r="K159" s="62"/>
      <c r="L159" s="62"/>
      <c r="M159" s="62"/>
    </row>
    <row r="160">
      <c r="G160" s="60"/>
      <c r="J160" s="61"/>
      <c r="K160" s="62"/>
      <c r="L160" s="62"/>
      <c r="M160" s="62"/>
    </row>
    <row r="161">
      <c r="G161" s="60"/>
      <c r="J161" s="61"/>
      <c r="K161" s="62"/>
      <c r="L161" s="62"/>
      <c r="M161" s="62"/>
    </row>
    <row r="162">
      <c r="G162" s="60"/>
      <c r="J162" s="61"/>
      <c r="K162" s="62"/>
      <c r="L162" s="62"/>
      <c r="M162" s="62"/>
    </row>
    <row r="163">
      <c r="G163" s="60"/>
      <c r="J163" s="61"/>
      <c r="K163" s="62"/>
      <c r="L163" s="62"/>
      <c r="M163" s="62"/>
    </row>
    <row r="164">
      <c r="G164" s="60"/>
      <c r="J164" s="61"/>
      <c r="K164" s="62"/>
      <c r="L164" s="62"/>
      <c r="M164" s="62"/>
    </row>
    <row r="165">
      <c r="G165" s="60"/>
      <c r="J165" s="61"/>
      <c r="K165" s="62"/>
      <c r="L165" s="62"/>
      <c r="M165" s="62"/>
    </row>
    <row r="166">
      <c r="G166" s="60"/>
      <c r="J166" s="61"/>
      <c r="K166" s="62"/>
      <c r="L166" s="62"/>
      <c r="M166" s="62"/>
    </row>
    <row r="167">
      <c r="G167" s="60"/>
      <c r="J167" s="61"/>
      <c r="K167" s="62"/>
      <c r="L167" s="62"/>
      <c r="M167" s="62"/>
    </row>
    <row r="168">
      <c r="G168" s="60"/>
      <c r="J168" s="61"/>
      <c r="K168" s="62"/>
      <c r="L168" s="62"/>
      <c r="M168" s="62"/>
    </row>
    <row r="169">
      <c r="G169" s="60"/>
      <c r="J169" s="61"/>
      <c r="K169" s="62"/>
      <c r="L169" s="62"/>
      <c r="M169" s="62"/>
    </row>
    <row r="170">
      <c r="G170" s="60"/>
      <c r="J170" s="61"/>
      <c r="K170" s="62"/>
      <c r="L170" s="62"/>
      <c r="M170" s="62"/>
    </row>
    <row r="171">
      <c r="G171" s="60"/>
      <c r="J171" s="61"/>
      <c r="K171" s="62"/>
      <c r="L171" s="62"/>
      <c r="M171" s="62"/>
    </row>
    <row r="172">
      <c r="G172" s="60"/>
      <c r="J172" s="61"/>
      <c r="K172" s="62"/>
      <c r="L172" s="62"/>
      <c r="M172" s="62"/>
    </row>
    <row r="173">
      <c r="G173" s="60"/>
      <c r="J173" s="61"/>
      <c r="K173" s="62"/>
      <c r="L173" s="62"/>
      <c r="M173" s="62"/>
    </row>
    <row r="174">
      <c r="G174" s="60"/>
      <c r="J174" s="61"/>
      <c r="K174" s="62"/>
      <c r="L174" s="62"/>
      <c r="M174" s="62"/>
    </row>
    <row r="175">
      <c r="G175" s="60"/>
      <c r="J175" s="61"/>
      <c r="K175" s="62"/>
      <c r="L175" s="62"/>
      <c r="M175" s="62"/>
    </row>
    <row r="176">
      <c r="G176" s="60"/>
      <c r="J176" s="61"/>
      <c r="K176" s="62"/>
      <c r="L176" s="62"/>
      <c r="M176" s="62"/>
    </row>
    <row r="177">
      <c r="G177" s="60"/>
      <c r="J177" s="61"/>
      <c r="K177" s="62"/>
      <c r="L177" s="62"/>
      <c r="M177" s="62"/>
    </row>
    <row r="178">
      <c r="G178" s="60"/>
      <c r="J178" s="61"/>
      <c r="K178" s="62"/>
      <c r="L178" s="62"/>
      <c r="M178" s="62"/>
    </row>
    <row r="179">
      <c r="G179" s="60"/>
      <c r="J179" s="61"/>
      <c r="K179" s="62"/>
      <c r="L179" s="62"/>
      <c r="M179" s="62"/>
    </row>
    <row r="180">
      <c r="G180" s="60"/>
      <c r="J180" s="61"/>
      <c r="K180" s="62"/>
      <c r="L180" s="62"/>
      <c r="M180" s="62"/>
    </row>
    <row r="181">
      <c r="G181" s="60"/>
      <c r="J181" s="61"/>
      <c r="K181" s="62"/>
      <c r="L181" s="62"/>
      <c r="M181" s="62"/>
    </row>
    <row r="182">
      <c r="G182" s="60"/>
      <c r="J182" s="61"/>
      <c r="K182" s="62"/>
      <c r="L182" s="62"/>
      <c r="M182" s="62"/>
    </row>
    <row r="183">
      <c r="G183" s="60"/>
      <c r="J183" s="61"/>
      <c r="K183" s="62"/>
      <c r="L183" s="62"/>
      <c r="M183" s="62"/>
    </row>
    <row r="184">
      <c r="G184" s="60"/>
      <c r="J184" s="61"/>
      <c r="K184" s="62"/>
      <c r="L184" s="62"/>
      <c r="M184" s="62"/>
    </row>
    <row r="185">
      <c r="G185" s="60"/>
      <c r="J185" s="61"/>
      <c r="K185" s="62"/>
      <c r="L185" s="62"/>
      <c r="M185" s="62"/>
    </row>
    <row r="186">
      <c r="G186" s="60"/>
      <c r="J186" s="61"/>
      <c r="K186" s="62"/>
      <c r="L186" s="62"/>
      <c r="M186" s="62"/>
    </row>
    <row r="187">
      <c r="G187" s="60"/>
      <c r="J187" s="61"/>
      <c r="K187" s="62"/>
      <c r="L187" s="62"/>
      <c r="M187" s="62"/>
    </row>
    <row r="188">
      <c r="G188" s="60"/>
      <c r="J188" s="61"/>
      <c r="K188" s="62"/>
      <c r="L188" s="62"/>
      <c r="M188" s="62"/>
    </row>
    <row r="189">
      <c r="G189" s="60"/>
      <c r="J189" s="61"/>
      <c r="K189" s="62"/>
      <c r="L189" s="62"/>
      <c r="M189" s="62"/>
    </row>
    <row r="190">
      <c r="G190" s="60"/>
      <c r="J190" s="61"/>
      <c r="K190" s="62"/>
      <c r="L190" s="62"/>
      <c r="M190" s="62"/>
    </row>
    <row r="191">
      <c r="G191" s="60"/>
      <c r="J191" s="61"/>
      <c r="K191" s="62"/>
      <c r="L191" s="62"/>
      <c r="M191" s="62"/>
    </row>
    <row r="192">
      <c r="G192" s="60"/>
      <c r="J192" s="61"/>
      <c r="K192" s="62"/>
      <c r="L192" s="62"/>
      <c r="M192" s="62"/>
    </row>
    <row r="193">
      <c r="G193" s="60"/>
      <c r="J193" s="61"/>
      <c r="K193" s="62"/>
      <c r="L193" s="62"/>
      <c r="M193" s="62"/>
    </row>
    <row r="194">
      <c r="G194" s="60"/>
      <c r="J194" s="61"/>
      <c r="K194" s="62"/>
      <c r="L194" s="62"/>
      <c r="M194" s="62"/>
    </row>
    <row r="195">
      <c r="G195" s="60"/>
      <c r="J195" s="61"/>
      <c r="K195" s="62"/>
      <c r="L195" s="62"/>
      <c r="M195" s="62"/>
    </row>
    <row r="196">
      <c r="G196" s="60"/>
      <c r="J196" s="61"/>
      <c r="K196" s="62"/>
      <c r="L196" s="62"/>
      <c r="M196" s="62"/>
    </row>
    <row r="197">
      <c r="G197" s="60"/>
      <c r="J197" s="61"/>
      <c r="K197" s="62"/>
      <c r="L197" s="62"/>
      <c r="M197" s="62"/>
    </row>
    <row r="198">
      <c r="G198" s="60"/>
      <c r="J198" s="61"/>
      <c r="K198" s="62"/>
      <c r="L198" s="62"/>
      <c r="M198" s="62"/>
    </row>
    <row r="199">
      <c r="G199" s="60"/>
      <c r="J199" s="61"/>
      <c r="K199" s="62"/>
      <c r="L199" s="62"/>
      <c r="M199" s="62"/>
    </row>
    <row r="200">
      <c r="G200" s="60"/>
      <c r="J200" s="61"/>
      <c r="K200" s="62"/>
      <c r="L200" s="62"/>
      <c r="M200" s="62"/>
    </row>
    <row r="201">
      <c r="G201" s="60"/>
      <c r="J201" s="61"/>
      <c r="K201" s="62"/>
      <c r="L201" s="62"/>
      <c r="M201" s="62"/>
    </row>
    <row r="202">
      <c r="G202" s="60"/>
      <c r="J202" s="61"/>
      <c r="K202" s="62"/>
      <c r="L202" s="62"/>
      <c r="M202" s="62"/>
    </row>
    <row r="203">
      <c r="G203" s="60"/>
      <c r="J203" s="61"/>
      <c r="K203" s="62"/>
      <c r="L203" s="62"/>
      <c r="M203" s="62"/>
    </row>
    <row r="204">
      <c r="G204" s="60"/>
      <c r="J204" s="61"/>
      <c r="K204" s="62"/>
      <c r="L204" s="62"/>
      <c r="M204" s="62"/>
    </row>
    <row r="205">
      <c r="G205" s="60"/>
      <c r="J205" s="61"/>
      <c r="K205" s="62"/>
      <c r="L205" s="62"/>
      <c r="M205" s="62"/>
    </row>
    <row r="206">
      <c r="G206" s="60"/>
      <c r="J206" s="61"/>
      <c r="K206" s="62"/>
      <c r="L206" s="62"/>
      <c r="M206" s="62"/>
    </row>
    <row r="207">
      <c r="G207" s="60"/>
      <c r="J207" s="61"/>
      <c r="K207" s="62"/>
      <c r="L207" s="62"/>
      <c r="M207" s="62"/>
    </row>
    <row r="208">
      <c r="G208" s="60"/>
      <c r="J208" s="61"/>
      <c r="K208" s="62"/>
      <c r="L208" s="62"/>
      <c r="M208" s="62"/>
    </row>
    <row r="209">
      <c r="G209" s="60"/>
      <c r="J209" s="61"/>
      <c r="K209" s="62"/>
      <c r="L209" s="62"/>
      <c r="M209" s="62"/>
    </row>
    <row r="210">
      <c r="G210" s="60"/>
      <c r="J210" s="61"/>
      <c r="K210" s="62"/>
      <c r="L210" s="62"/>
      <c r="M210" s="62"/>
    </row>
    <row r="211">
      <c r="G211" s="60"/>
      <c r="J211" s="61"/>
      <c r="K211" s="62"/>
      <c r="L211" s="62"/>
      <c r="M211" s="62"/>
    </row>
    <row r="212">
      <c r="G212" s="60"/>
      <c r="J212" s="61"/>
      <c r="K212" s="62"/>
      <c r="L212" s="62"/>
      <c r="M212" s="62"/>
    </row>
    <row r="213">
      <c r="G213" s="60"/>
      <c r="J213" s="61"/>
      <c r="K213" s="62"/>
      <c r="L213" s="62"/>
      <c r="M213" s="62"/>
    </row>
    <row r="214">
      <c r="G214" s="60"/>
      <c r="J214" s="61"/>
      <c r="K214" s="62"/>
      <c r="L214" s="62"/>
      <c r="M214" s="62"/>
    </row>
    <row r="215">
      <c r="G215" s="60"/>
      <c r="J215" s="61"/>
      <c r="K215" s="62"/>
      <c r="L215" s="62"/>
      <c r="M215" s="62"/>
    </row>
    <row r="216">
      <c r="G216" s="60"/>
      <c r="J216" s="61"/>
      <c r="K216" s="62"/>
      <c r="L216" s="62"/>
      <c r="M216" s="62"/>
    </row>
    <row r="217">
      <c r="G217" s="60"/>
      <c r="J217" s="61"/>
      <c r="K217" s="62"/>
      <c r="L217" s="62"/>
      <c r="M217" s="62"/>
    </row>
    <row r="218">
      <c r="G218" s="60"/>
      <c r="J218" s="61"/>
      <c r="K218" s="62"/>
      <c r="L218" s="62"/>
      <c r="M218" s="62"/>
    </row>
    <row r="219">
      <c r="G219" s="60"/>
      <c r="J219" s="61"/>
      <c r="K219" s="62"/>
      <c r="L219" s="62"/>
      <c r="M219" s="62"/>
    </row>
    <row r="220">
      <c r="G220" s="60"/>
      <c r="J220" s="61"/>
      <c r="K220" s="62"/>
      <c r="L220" s="62"/>
      <c r="M220" s="62"/>
    </row>
    <row r="221">
      <c r="G221" s="60"/>
      <c r="J221" s="61"/>
      <c r="K221" s="62"/>
      <c r="L221" s="62"/>
      <c r="M221" s="62"/>
    </row>
    <row r="222">
      <c r="G222" s="60"/>
      <c r="J222" s="61"/>
      <c r="K222" s="62"/>
      <c r="L222" s="62"/>
      <c r="M222" s="62"/>
    </row>
    <row r="223">
      <c r="G223" s="60"/>
      <c r="J223" s="61"/>
      <c r="K223" s="62"/>
      <c r="L223" s="62"/>
      <c r="M223" s="62"/>
    </row>
    <row r="224">
      <c r="G224" s="60"/>
      <c r="J224" s="61"/>
      <c r="K224" s="62"/>
      <c r="L224" s="62"/>
      <c r="M224" s="62"/>
    </row>
    <row r="225">
      <c r="G225" s="60"/>
      <c r="J225" s="61"/>
      <c r="K225" s="62"/>
      <c r="L225" s="62"/>
      <c r="M225" s="62"/>
    </row>
    <row r="226">
      <c r="G226" s="60"/>
      <c r="J226" s="61"/>
      <c r="K226" s="62"/>
      <c r="L226" s="62"/>
      <c r="M226" s="62"/>
    </row>
    <row r="227">
      <c r="G227" s="60"/>
      <c r="J227" s="61"/>
      <c r="K227" s="62"/>
      <c r="L227" s="62"/>
      <c r="M227" s="62"/>
    </row>
    <row r="228">
      <c r="G228" s="60"/>
      <c r="J228" s="61"/>
      <c r="K228" s="62"/>
      <c r="L228" s="62"/>
      <c r="M228" s="62"/>
    </row>
    <row r="229">
      <c r="G229" s="60"/>
      <c r="J229" s="61"/>
      <c r="K229" s="62"/>
      <c r="L229" s="62"/>
      <c r="M229" s="62"/>
    </row>
    <row r="230">
      <c r="G230" s="60"/>
      <c r="J230" s="61"/>
      <c r="K230" s="62"/>
      <c r="L230" s="62"/>
      <c r="M230" s="62"/>
    </row>
    <row r="231">
      <c r="G231" s="60"/>
      <c r="J231" s="61"/>
      <c r="K231" s="62"/>
      <c r="L231" s="62"/>
      <c r="M231" s="62"/>
    </row>
    <row r="232">
      <c r="G232" s="60"/>
      <c r="J232" s="61"/>
      <c r="K232" s="62"/>
      <c r="L232" s="62"/>
      <c r="M232" s="62"/>
    </row>
    <row r="233">
      <c r="G233" s="60"/>
      <c r="J233" s="61"/>
      <c r="K233" s="62"/>
      <c r="L233" s="62"/>
      <c r="M233" s="62"/>
    </row>
    <row r="234">
      <c r="G234" s="60"/>
      <c r="J234" s="61"/>
      <c r="K234" s="62"/>
      <c r="L234" s="62"/>
      <c r="M234" s="62"/>
    </row>
    <row r="235">
      <c r="G235" s="60"/>
      <c r="J235" s="61"/>
      <c r="K235" s="62"/>
      <c r="L235" s="62"/>
      <c r="M235" s="62"/>
    </row>
    <row r="236">
      <c r="G236" s="60"/>
      <c r="J236" s="61"/>
      <c r="K236" s="62"/>
      <c r="L236" s="62"/>
      <c r="M236" s="62"/>
    </row>
    <row r="237">
      <c r="G237" s="60"/>
      <c r="J237" s="61"/>
      <c r="K237" s="62"/>
      <c r="L237" s="62"/>
      <c r="M237" s="62"/>
    </row>
    <row r="238">
      <c r="G238" s="60"/>
      <c r="J238" s="61"/>
      <c r="K238" s="62"/>
      <c r="L238" s="62"/>
      <c r="M238" s="62"/>
    </row>
    <row r="239">
      <c r="G239" s="60"/>
      <c r="J239" s="61"/>
      <c r="K239" s="62"/>
      <c r="L239" s="62"/>
      <c r="M239" s="62"/>
    </row>
    <row r="240">
      <c r="G240" s="60"/>
      <c r="J240" s="61"/>
      <c r="K240" s="62"/>
      <c r="L240" s="62"/>
      <c r="M240" s="62"/>
    </row>
    <row r="241">
      <c r="G241" s="60"/>
      <c r="J241" s="61"/>
      <c r="K241" s="62"/>
      <c r="L241" s="62"/>
      <c r="M241" s="62"/>
    </row>
    <row r="242">
      <c r="G242" s="60"/>
      <c r="J242" s="61"/>
      <c r="K242" s="62"/>
      <c r="L242" s="62"/>
      <c r="M242" s="62"/>
    </row>
    <row r="243">
      <c r="G243" s="60"/>
      <c r="J243" s="61"/>
      <c r="K243" s="62"/>
      <c r="L243" s="62"/>
      <c r="M243" s="62"/>
    </row>
    <row r="244">
      <c r="G244" s="60"/>
      <c r="J244" s="61"/>
      <c r="K244" s="62"/>
      <c r="L244" s="62"/>
      <c r="M244" s="62"/>
    </row>
    <row r="245">
      <c r="G245" s="60"/>
      <c r="J245" s="61"/>
      <c r="K245" s="62"/>
      <c r="L245" s="62"/>
      <c r="M245" s="62"/>
    </row>
    <row r="246">
      <c r="G246" s="60"/>
      <c r="J246" s="61"/>
      <c r="K246" s="62"/>
      <c r="L246" s="62"/>
      <c r="M246" s="62"/>
    </row>
    <row r="247">
      <c r="G247" s="60"/>
      <c r="J247" s="61"/>
      <c r="K247" s="62"/>
      <c r="L247" s="62"/>
      <c r="M247" s="62"/>
    </row>
    <row r="248">
      <c r="G248" s="60"/>
      <c r="J248" s="61"/>
      <c r="K248" s="62"/>
      <c r="L248" s="62"/>
      <c r="M248" s="62"/>
    </row>
    <row r="249">
      <c r="G249" s="60"/>
      <c r="J249" s="61"/>
      <c r="K249" s="62"/>
      <c r="L249" s="62"/>
      <c r="M249" s="62"/>
    </row>
    <row r="250">
      <c r="G250" s="60"/>
      <c r="J250" s="61"/>
      <c r="K250" s="62"/>
      <c r="L250" s="62"/>
      <c r="M250" s="62"/>
    </row>
    <row r="251">
      <c r="G251" s="60"/>
      <c r="J251" s="61"/>
      <c r="K251" s="62"/>
      <c r="L251" s="62"/>
      <c r="M251" s="62"/>
    </row>
    <row r="252">
      <c r="G252" s="60"/>
      <c r="J252" s="61"/>
      <c r="K252" s="62"/>
      <c r="L252" s="62"/>
      <c r="M252" s="62"/>
    </row>
    <row r="253">
      <c r="G253" s="60"/>
      <c r="J253" s="61"/>
      <c r="K253" s="62"/>
      <c r="L253" s="62"/>
      <c r="M253" s="62"/>
    </row>
    <row r="254">
      <c r="G254" s="60"/>
      <c r="J254" s="61"/>
      <c r="K254" s="62"/>
      <c r="L254" s="62"/>
      <c r="M254" s="62"/>
    </row>
    <row r="255">
      <c r="G255" s="60"/>
      <c r="J255" s="61"/>
      <c r="K255" s="62"/>
      <c r="L255" s="62"/>
      <c r="M255" s="62"/>
    </row>
    <row r="256">
      <c r="G256" s="60"/>
      <c r="J256" s="61"/>
      <c r="K256" s="62"/>
      <c r="L256" s="62"/>
      <c r="M256" s="62"/>
    </row>
    <row r="257">
      <c r="G257" s="60"/>
      <c r="J257" s="61"/>
      <c r="K257" s="62"/>
      <c r="L257" s="62"/>
      <c r="M257" s="62"/>
    </row>
    <row r="258">
      <c r="G258" s="60"/>
      <c r="J258" s="61"/>
      <c r="K258" s="62"/>
      <c r="L258" s="62"/>
      <c r="M258" s="62"/>
    </row>
    <row r="259">
      <c r="G259" s="60"/>
      <c r="J259" s="61"/>
      <c r="K259" s="62"/>
      <c r="L259" s="62"/>
      <c r="M259" s="62"/>
    </row>
    <row r="260">
      <c r="G260" s="60"/>
      <c r="J260" s="61"/>
      <c r="K260" s="62"/>
      <c r="L260" s="62"/>
      <c r="M260" s="62"/>
    </row>
    <row r="261">
      <c r="G261" s="60"/>
      <c r="J261" s="61"/>
      <c r="K261" s="62"/>
      <c r="L261" s="62"/>
      <c r="M261" s="62"/>
    </row>
    <row r="262">
      <c r="G262" s="60"/>
      <c r="J262" s="61"/>
      <c r="K262" s="62"/>
      <c r="L262" s="62"/>
      <c r="M262" s="62"/>
    </row>
    <row r="263">
      <c r="G263" s="60"/>
      <c r="J263" s="61"/>
      <c r="K263" s="62"/>
      <c r="L263" s="62"/>
      <c r="M263" s="62"/>
    </row>
    <row r="264">
      <c r="G264" s="60"/>
      <c r="J264" s="61"/>
      <c r="K264" s="62"/>
      <c r="L264" s="62"/>
      <c r="M264" s="62"/>
    </row>
    <row r="265">
      <c r="G265" s="60"/>
      <c r="J265" s="61"/>
      <c r="K265" s="62"/>
      <c r="L265" s="62"/>
      <c r="M265" s="62"/>
    </row>
    <row r="266">
      <c r="G266" s="60"/>
      <c r="J266" s="61"/>
      <c r="K266" s="62"/>
      <c r="L266" s="62"/>
      <c r="M266" s="62"/>
    </row>
    <row r="267">
      <c r="G267" s="60"/>
      <c r="J267" s="61"/>
      <c r="K267" s="62"/>
      <c r="L267" s="62"/>
      <c r="M267" s="62"/>
    </row>
    <row r="268">
      <c r="G268" s="60"/>
      <c r="J268" s="61"/>
      <c r="K268" s="62"/>
      <c r="L268" s="62"/>
      <c r="M268" s="62"/>
    </row>
    <row r="269">
      <c r="G269" s="60"/>
      <c r="J269" s="61"/>
      <c r="K269" s="62"/>
      <c r="L269" s="62"/>
      <c r="M269" s="62"/>
    </row>
    <row r="270">
      <c r="G270" s="60"/>
      <c r="J270" s="61"/>
      <c r="K270" s="62"/>
      <c r="L270" s="62"/>
      <c r="M270" s="62"/>
    </row>
    <row r="271">
      <c r="G271" s="60"/>
      <c r="J271" s="61"/>
      <c r="K271" s="62"/>
      <c r="L271" s="62"/>
      <c r="M271" s="62"/>
    </row>
    <row r="272">
      <c r="G272" s="60"/>
      <c r="J272" s="61"/>
      <c r="K272" s="62"/>
      <c r="L272" s="62"/>
      <c r="M272" s="62"/>
    </row>
    <row r="273">
      <c r="G273" s="60"/>
      <c r="J273" s="61"/>
      <c r="K273" s="62"/>
      <c r="L273" s="62"/>
      <c r="M273" s="62"/>
    </row>
    <row r="274">
      <c r="G274" s="60"/>
      <c r="J274" s="61"/>
      <c r="K274" s="62"/>
      <c r="L274" s="62"/>
      <c r="M274" s="62"/>
    </row>
    <row r="275">
      <c r="G275" s="60"/>
      <c r="J275" s="61"/>
      <c r="K275" s="62"/>
      <c r="L275" s="62"/>
      <c r="M275" s="62"/>
    </row>
    <row r="276">
      <c r="G276" s="60"/>
      <c r="J276" s="61"/>
      <c r="K276" s="62"/>
      <c r="L276" s="62"/>
      <c r="M276" s="62"/>
    </row>
    <row r="277">
      <c r="G277" s="60"/>
      <c r="J277" s="61"/>
      <c r="K277" s="62"/>
      <c r="L277" s="62"/>
      <c r="M277" s="62"/>
    </row>
    <row r="278">
      <c r="G278" s="60"/>
      <c r="J278" s="61"/>
      <c r="K278" s="62"/>
      <c r="L278" s="62"/>
      <c r="M278" s="62"/>
    </row>
    <row r="279">
      <c r="G279" s="60"/>
      <c r="J279" s="61"/>
      <c r="K279" s="62"/>
      <c r="L279" s="62"/>
      <c r="M279" s="62"/>
    </row>
    <row r="280">
      <c r="G280" s="60"/>
      <c r="J280" s="61"/>
      <c r="K280" s="62"/>
      <c r="L280" s="62"/>
      <c r="M280" s="62"/>
    </row>
    <row r="281">
      <c r="G281" s="60"/>
      <c r="J281" s="61"/>
      <c r="K281" s="62"/>
      <c r="L281" s="62"/>
      <c r="M281" s="62"/>
    </row>
    <row r="282">
      <c r="G282" s="60"/>
      <c r="J282" s="61"/>
      <c r="K282" s="62"/>
      <c r="L282" s="62"/>
      <c r="M282" s="62"/>
    </row>
    <row r="283">
      <c r="G283" s="60"/>
      <c r="J283" s="61"/>
      <c r="K283" s="62"/>
      <c r="L283" s="62"/>
      <c r="M283" s="62"/>
    </row>
    <row r="284">
      <c r="G284" s="60"/>
      <c r="J284" s="61"/>
      <c r="K284" s="62"/>
      <c r="L284" s="62"/>
      <c r="M284" s="62"/>
    </row>
    <row r="285">
      <c r="G285" s="60"/>
      <c r="J285" s="61"/>
      <c r="K285" s="62"/>
      <c r="L285" s="62"/>
      <c r="M285" s="62"/>
    </row>
    <row r="286">
      <c r="G286" s="60"/>
      <c r="J286" s="61"/>
      <c r="K286" s="62"/>
      <c r="L286" s="62"/>
      <c r="M286" s="62"/>
    </row>
    <row r="287">
      <c r="G287" s="60"/>
      <c r="J287" s="61"/>
      <c r="K287" s="62"/>
      <c r="L287" s="62"/>
      <c r="M287" s="62"/>
    </row>
    <row r="288">
      <c r="G288" s="60"/>
      <c r="J288" s="61"/>
      <c r="K288" s="62"/>
      <c r="L288" s="62"/>
      <c r="M288" s="62"/>
    </row>
    <row r="289">
      <c r="G289" s="60"/>
      <c r="J289" s="61"/>
      <c r="K289" s="62"/>
      <c r="L289" s="62"/>
      <c r="M289" s="62"/>
    </row>
    <row r="290">
      <c r="G290" s="60"/>
      <c r="J290" s="61"/>
      <c r="K290" s="62"/>
      <c r="L290" s="62"/>
      <c r="M290" s="62"/>
    </row>
    <row r="291">
      <c r="G291" s="60"/>
      <c r="J291" s="61"/>
      <c r="K291" s="62"/>
      <c r="L291" s="62"/>
      <c r="M291" s="62"/>
    </row>
    <row r="292">
      <c r="G292" s="60"/>
      <c r="J292" s="61"/>
      <c r="K292" s="62"/>
      <c r="L292" s="62"/>
      <c r="M292" s="62"/>
    </row>
    <row r="293">
      <c r="G293" s="60"/>
      <c r="J293" s="61"/>
      <c r="K293" s="62"/>
      <c r="L293" s="62"/>
      <c r="M293" s="62"/>
    </row>
    <row r="294">
      <c r="G294" s="60"/>
      <c r="J294" s="61"/>
      <c r="K294" s="62"/>
      <c r="L294" s="62"/>
      <c r="M294" s="62"/>
    </row>
    <row r="295">
      <c r="G295" s="60"/>
      <c r="J295" s="61"/>
      <c r="K295" s="62"/>
      <c r="L295" s="62"/>
      <c r="M295" s="62"/>
    </row>
    <row r="296">
      <c r="G296" s="60"/>
      <c r="J296" s="61"/>
      <c r="K296" s="62"/>
      <c r="L296" s="62"/>
      <c r="M296" s="62"/>
    </row>
    <row r="297">
      <c r="G297" s="60"/>
      <c r="J297" s="61"/>
      <c r="K297" s="62"/>
      <c r="L297" s="62"/>
      <c r="M297" s="62"/>
    </row>
    <row r="298">
      <c r="G298" s="60"/>
      <c r="J298" s="61"/>
      <c r="K298" s="62"/>
      <c r="L298" s="62"/>
      <c r="M298" s="62"/>
    </row>
    <row r="299">
      <c r="G299" s="60"/>
      <c r="J299" s="61"/>
      <c r="K299" s="62"/>
      <c r="L299" s="62"/>
      <c r="M299" s="62"/>
    </row>
    <row r="300">
      <c r="G300" s="60"/>
      <c r="J300" s="61"/>
      <c r="K300" s="62"/>
      <c r="L300" s="62"/>
      <c r="M300" s="62"/>
    </row>
    <row r="301">
      <c r="G301" s="60"/>
      <c r="J301" s="61"/>
      <c r="K301" s="62"/>
      <c r="L301" s="62"/>
      <c r="M301" s="62"/>
    </row>
    <row r="302">
      <c r="G302" s="60"/>
      <c r="J302" s="61"/>
      <c r="K302" s="62"/>
      <c r="L302" s="62"/>
      <c r="M302" s="62"/>
    </row>
    <row r="303">
      <c r="G303" s="60"/>
      <c r="J303" s="61"/>
      <c r="K303" s="62"/>
      <c r="L303" s="62"/>
      <c r="M303" s="62"/>
    </row>
    <row r="304">
      <c r="G304" s="60"/>
      <c r="J304" s="61"/>
      <c r="K304" s="62"/>
      <c r="L304" s="62"/>
      <c r="M304" s="62"/>
    </row>
    <row r="305">
      <c r="G305" s="60"/>
      <c r="J305" s="61"/>
      <c r="K305" s="62"/>
      <c r="L305" s="62"/>
      <c r="M305" s="62"/>
    </row>
    <row r="306">
      <c r="G306" s="60"/>
      <c r="J306" s="61"/>
      <c r="K306" s="62"/>
      <c r="L306" s="62"/>
      <c r="M306" s="62"/>
    </row>
    <row r="307">
      <c r="G307" s="60"/>
      <c r="J307" s="61"/>
      <c r="K307" s="62"/>
      <c r="L307" s="62"/>
      <c r="M307" s="62"/>
    </row>
    <row r="308">
      <c r="G308" s="60"/>
      <c r="J308" s="61"/>
      <c r="K308" s="62"/>
      <c r="L308" s="62"/>
      <c r="M308" s="62"/>
    </row>
    <row r="309">
      <c r="G309" s="60"/>
      <c r="J309" s="61"/>
      <c r="K309" s="62"/>
      <c r="L309" s="62"/>
      <c r="M309" s="62"/>
    </row>
    <row r="310">
      <c r="G310" s="60"/>
      <c r="J310" s="61"/>
      <c r="K310" s="62"/>
      <c r="L310" s="62"/>
      <c r="M310" s="62"/>
    </row>
    <row r="311">
      <c r="G311" s="60"/>
      <c r="J311" s="61"/>
      <c r="K311" s="62"/>
      <c r="L311" s="62"/>
      <c r="M311" s="62"/>
    </row>
    <row r="312">
      <c r="G312" s="60"/>
      <c r="J312" s="61"/>
      <c r="K312" s="62"/>
      <c r="L312" s="62"/>
      <c r="M312" s="62"/>
    </row>
    <row r="313">
      <c r="G313" s="60"/>
      <c r="J313" s="61"/>
      <c r="K313" s="62"/>
      <c r="L313" s="62"/>
      <c r="M313" s="62"/>
    </row>
    <row r="314">
      <c r="G314" s="60"/>
      <c r="J314" s="61"/>
      <c r="K314" s="62"/>
      <c r="L314" s="62"/>
      <c r="M314" s="62"/>
    </row>
    <row r="315">
      <c r="G315" s="60"/>
      <c r="J315" s="61"/>
      <c r="K315" s="62"/>
      <c r="L315" s="62"/>
      <c r="M315" s="62"/>
    </row>
    <row r="316">
      <c r="G316" s="60"/>
      <c r="J316" s="61"/>
      <c r="K316" s="62"/>
      <c r="L316" s="62"/>
      <c r="M316" s="62"/>
    </row>
    <row r="317">
      <c r="G317" s="60"/>
      <c r="J317" s="61"/>
      <c r="K317" s="62"/>
      <c r="L317" s="62"/>
      <c r="M317" s="62"/>
    </row>
    <row r="318">
      <c r="G318" s="60"/>
      <c r="J318" s="61"/>
      <c r="K318" s="62"/>
      <c r="L318" s="62"/>
      <c r="M318" s="62"/>
    </row>
    <row r="319">
      <c r="G319" s="60"/>
      <c r="J319" s="61"/>
      <c r="K319" s="62"/>
      <c r="L319" s="62"/>
      <c r="M319" s="62"/>
    </row>
    <row r="320">
      <c r="G320" s="60"/>
      <c r="J320" s="61"/>
      <c r="K320" s="62"/>
      <c r="L320" s="62"/>
      <c r="M320" s="62"/>
    </row>
    <row r="321">
      <c r="G321" s="60"/>
      <c r="J321" s="61"/>
      <c r="K321" s="62"/>
      <c r="L321" s="62"/>
      <c r="M321" s="62"/>
    </row>
    <row r="322">
      <c r="G322" s="60"/>
      <c r="J322" s="61"/>
      <c r="K322" s="62"/>
      <c r="L322" s="62"/>
      <c r="M322" s="62"/>
    </row>
    <row r="323">
      <c r="G323" s="60"/>
      <c r="J323" s="61"/>
      <c r="K323" s="62"/>
      <c r="L323" s="62"/>
      <c r="M323" s="62"/>
    </row>
    <row r="324">
      <c r="G324" s="60"/>
      <c r="J324" s="61"/>
      <c r="K324" s="62"/>
      <c r="L324" s="62"/>
      <c r="M324" s="62"/>
    </row>
    <row r="325">
      <c r="G325" s="60"/>
      <c r="J325" s="61"/>
      <c r="K325" s="62"/>
      <c r="L325" s="62"/>
      <c r="M325" s="62"/>
    </row>
    <row r="326">
      <c r="G326" s="60"/>
      <c r="J326" s="61"/>
      <c r="K326" s="62"/>
      <c r="L326" s="62"/>
      <c r="M326" s="62"/>
    </row>
    <row r="327">
      <c r="G327" s="60"/>
      <c r="J327" s="61"/>
      <c r="K327" s="62"/>
      <c r="L327" s="62"/>
      <c r="M327" s="62"/>
    </row>
    <row r="328">
      <c r="G328" s="60"/>
      <c r="J328" s="61"/>
      <c r="K328" s="62"/>
      <c r="L328" s="62"/>
      <c r="M328" s="62"/>
    </row>
    <row r="329">
      <c r="G329" s="60"/>
      <c r="J329" s="61"/>
      <c r="K329" s="62"/>
      <c r="L329" s="62"/>
      <c r="M329" s="62"/>
    </row>
    <row r="330">
      <c r="G330" s="60"/>
      <c r="J330" s="61"/>
      <c r="K330" s="62"/>
      <c r="L330" s="62"/>
      <c r="M330" s="62"/>
    </row>
    <row r="331">
      <c r="G331" s="60"/>
      <c r="J331" s="61"/>
      <c r="K331" s="62"/>
      <c r="L331" s="62"/>
      <c r="M331" s="62"/>
    </row>
    <row r="332">
      <c r="G332" s="60"/>
      <c r="J332" s="61"/>
      <c r="K332" s="62"/>
      <c r="L332" s="62"/>
      <c r="M332" s="62"/>
    </row>
    <row r="333">
      <c r="G333" s="60"/>
      <c r="J333" s="61"/>
      <c r="K333" s="62"/>
      <c r="L333" s="62"/>
      <c r="M333" s="62"/>
    </row>
    <row r="334">
      <c r="G334" s="60"/>
      <c r="J334" s="61"/>
      <c r="K334" s="62"/>
      <c r="L334" s="62"/>
      <c r="M334" s="62"/>
    </row>
    <row r="335">
      <c r="G335" s="60"/>
      <c r="J335" s="61"/>
      <c r="K335" s="62"/>
      <c r="L335" s="62"/>
      <c r="M335" s="62"/>
    </row>
    <row r="336">
      <c r="G336" s="60"/>
      <c r="J336" s="61"/>
      <c r="K336" s="62"/>
      <c r="L336" s="62"/>
      <c r="M336" s="62"/>
    </row>
    <row r="337">
      <c r="G337" s="60"/>
      <c r="J337" s="61"/>
      <c r="K337" s="62"/>
      <c r="L337" s="62"/>
      <c r="M337" s="62"/>
    </row>
    <row r="338">
      <c r="G338" s="60"/>
      <c r="J338" s="61"/>
      <c r="K338" s="62"/>
      <c r="L338" s="62"/>
      <c r="M338" s="62"/>
    </row>
    <row r="339">
      <c r="G339" s="60"/>
      <c r="J339" s="61"/>
      <c r="K339" s="62"/>
      <c r="L339" s="62"/>
      <c r="M339" s="62"/>
    </row>
    <row r="340">
      <c r="G340" s="60"/>
      <c r="J340" s="61"/>
      <c r="K340" s="62"/>
      <c r="L340" s="62"/>
      <c r="M340" s="62"/>
    </row>
    <row r="341">
      <c r="G341" s="60"/>
      <c r="J341" s="61"/>
      <c r="K341" s="62"/>
      <c r="L341" s="62"/>
      <c r="M341" s="62"/>
    </row>
    <row r="342">
      <c r="G342" s="60"/>
      <c r="J342" s="61"/>
      <c r="K342" s="62"/>
      <c r="L342" s="62"/>
      <c r="M342" s="62"/>
    </row>
    <row r="343">
      <c r="G343" s="60"/>
      <c r="J343" s="61"/>
      <c r="K343" s="62"/>
      <c r="L343" s="62"/>
      <c r="M343" s="62"/>
    </row>
    <row r="344">
      <c r="G344" s="60"/>
      <c r="J344" s="61"/>
      <c r="K344" s="62"/>
      <c r="L344" s="62"/>
      <c r="M344" s="62"/>
    </row>
    <row r="345">
      <c r="G345" s="60"/>
      <c r="J345" s="61"/>
      <c r="K345" s="62"/>
      <c r="L345" s="62"/>
      <c r="M345" s="62"/>
    </row>
    <row r="346">
      <c r="G346" s="60"/>
      <c r="J346" s="61"/>
      <c r="K346" s="62"/>
      <c r="L346" s="62"/>
      <c r="M346" s="62"/>
    </row>
    <row r="347">
      <c r="G347" s="60"/>
      <c r="J347" s="61"/>
      <c r="K347" s="62"/>
      <c r="L347" s="62"/>
      <c r="M347" s="62"/>
    </row>
    <row r="348">
      <c r="G348" s="60"/>
      <c r="J348" s="61"/>
      <c r="K348" s="62"/>
      <c r="L348" s="62"/>
      <c r="M348" s="62"/>
    </row>
    <row r="349">
      <c r="G349" s="60"/>
      <c r="J349" s="61"/>
      <c r="K349" s="62"/>
      <c r="L349" s="62"/>
      <c r="M349" s="62"/>
    </row>
    <row r="350">
      <c r="G350" s="60"/>
      <c r="J350" s="61"/>
      <c r="K350" s="62"/>
      <c r="L350" s="62"/>
      <c r="M350" s="62"/>
    </row>
    <row r="351">
      <c r="G351" s="60"/>
      <c r="J351" s="61"/>
      <c r="K351" s="62"/>
      <c r="L351" s="62"/>
      <c r="M351" s="62"/>
    </row>
    <row r="352">
      <c r="G352" s="60"/>
      <c r="J352" s="61"/>
      <c r="K352" s="62"/>
      <c r="L352" s="62"/>
      <c r="M352" s="62"/>
    </row>
    <row r="353">
      <c r="G353" s="60"/>
      <c r="J353" s="61"/>
      <c r="K353" s="62"/>
      <c r="L353" s="62"/>
      <c r="M353" s="62"/>
    </row>
    <row r="354">
      <c r="G354" s="60"/>
      <c r="J354" s="61"/>
      <c r="K354" s="62"/>
      <c r="L354" s="62"/>
      <c r="M354" s="62"/>
    </row>
    <row r="355">
      <c r="G355" s="60"/>
      <c r="J355" s="61"/>
      <c r="K355" s="62"/>
      <c r="L355" s="62"/>
      <c r="M355" s="62"/>
    </row>
    <row r="356">
      <c r="G356" s="60"/>
      <c r="J356" s="61"/>
      <c r="K356" s="62"/>
      <c r="L356" s="62"/>
      <c r="M356" s="62"/>
    </row>
    <row r="357">
      <c r="G357" s="60"/>
      <c r="J357" s="61"/>
      <c r="K357" s="62"/>
      <c r="L357" s="62"/>
      <c r="M357" s="62"/>
    </row>
    <row r="358">
      <c r="G358" s="60"/>
      <c r="J358" s="61"/>
      <c r="K358" s="62"/>
      <c r="L358" s="62"/>
      <c r="M358" s="62"/>
    </row>
    <row r="359">
      <c r="G359" s="60"/>
      <c r="J359" s="61"/>
      <c r="K359" s="62"/>
      <c r="L359" s="62"/>
      <c r="M359" s="62"/>
    </row>
    <row r="360">
      <c r="G360" s="60"/>
      <c r="J360" s="61"/>
      <c r="K360" s="62"/>
      <c r="L360" s="62"/>
      <c r="M360" s="62"/>
    </row>
    <row r="361">
      <c r="G361" s="60"/>
      <c r="J361" s="61"/>
      <c r="K361" s="62"/>
      <c r="L361" s="62"/>
      <c r="M361" s="62"/>
    </row>
    <row r="362">
      <c r="G362" s="60"/>
      <c r="J362" s="61"/>
      <c r="K362" s="62"/>
      <c r="L362" s="62"/>
      <c r="M362" s="62"/>
    </row>
    <row r="363">
      <c r="G363" s="60"/>
      <c r="J363" s="61"/>
      <c r="K363" s="62"/>
      <c r="L363" s="62"/>
      <c r="M363" s="62"/>
    </row>
    <row r="364">
      <c r="G364" s="60"/>
      <c r="J364" s="61"/>
      <c r="K364" s="62"/>
      <c r="L364" s="62"/>
      <c r="M364" s="62"/>
    </row>
    <row r="365">
      <c r="G365" s="60"/>
      <c r="J365" s="61"/>
      <c r="K365" s="62"/>
      <c r="L365" s="62"/>
      <c r="M365" s="62"/>
    </row>
    <row r="366">
      <c r="G366" s="60"/>
      <c r="J366" s="61"/>
      <c r="K366" s="62"/>
      <c r="L366" s="62"/>
      <c r="M366" s="62"/>
    </row>
    <row r="367">
      <c r="G367" s="60"/>
      <c r="J367" s="61"/>
      <c r="K367" s="62"/>
      <c r="L367" s="62"/>
      <c r="M367" s="62"/>
    </row>
    <row r="368">
      <c r="G368" s="60"/>
      <c r="J368" s="61"/>
      <c r="K368" s="62"/>
      <c r="L368" s="62"/>
      <c r="M368" s="62"/>
    </row>
    <row r="369">
      <c r="G369" s="60"/>
      <c r="J369" s="61"/>
      <c r="K369" s="62"/>
      <c r="L369" s="62"/>
      <c r="M369" s="62"/>
    </row>
    <row r="370">
      <c r="G370" s="60"/>
      <c r="J370" s="61"/>
      <c r="K370" s="62"/>
      <c r="L370" s="62"/>
      <c r="M370" s="62"/>
    </row>
    <row r="371">
      <c r="G371" s="60"/>
      <c r="J371" s="61"/>
      <c r="K371" s="62"/>
      <c r="L371" s="62"/>
      <c r="M371" s="62"/>
    </row>
    <row r="372">
      <c r="G372" s="60"/>
      <c r="J372" s="61"/>
      <c r="K372" s="62"/>
      <c r="L372" s="62"/>
      <c r="M372" s="62"/>
    </row>
    <row r="373">
      <c r="G373" s="60"/>
      <c r="J373" s="61"/>
      <c r="K373" s="62"/>
      <c r="L373" s="62"/>
      <c r="M373" s="62"/>
    </row>
    <row r="374">
      <c r="G374" s="60"/>
      <c r="J374" s="61"/>
      <c r="K374" s="62"/>
      <c r="L374" s="62"/>
      <c r="M374" s="62"/>
    </row>
    <row r="375">
      <c r="G375" s="60"/>
      <c r="J375" s="61"/>
      <c r="K375" s="62"/>
      <c r="L375" s="62"/>
      <c r="M375" s="62"/>
    </row>
    <row r="376">
      <c r="G376" s="60"/>
      <c r="J376" s="61"/>
      <c r="K376" s="62"/>
      <c r="L376" s="62"/>
      <c r="M376" s="62"/>
    </row>
    <row r="377">
      <c r="G377" s="60"/>
      <c r="J377" s="61"/>
      <c r="K377" s="62"/>
      <c r="L377" s="62"/>
      <c r="M377" s="62"/>
    </row>
    <row r="378">
      <c r="G378" s="60"/>
      <c r="J378" s="61"/>
      <c r="K378" s="62"/>
      <c r="L378" s="62"/>
      <c r="M378" s="62"/>
    </row>
    <row r="379">
      <c r="G379" s="60"/>
      <c r="J379" s="61"/>
      <c r="K379" s="62"/>
      <c r="L379" s="62"/>
      <c r="M379" s="62"/>
    </row>
    <row r="380">
      <c r="G380" s="60"/>
      <c r="J380" s="61"/>
      <c r="K380" s="62"/>
      <c r="L380" s="62"/>
      <c r="M380" s="62"/>
    </row>
    <row r="381">
      <c r="G381" s="60"/>
      <c r="J381" s="61"/>
      <c r="K381" s="62"/>
      <c r="L381" s="62"/>
      <c r="M381" s="62"/>
    </row>
    <row r="382">
      <c r="G382" s="60"/>
      <c r="J382" s="61"/>
      <c r="K382" s="62"/>
      <c r="L382" s="62"/>
      <c r="M382" s="62"/>
    </row>
    <row r="383">
      <c r="G383" s="60"/>
      <c r="J383" s="61"/>
      <c r="K383" s="62"/>
      <c r="L383" s="62"/>
      <c r="M383" s="62"/>
    </row>
    <row r="384">
      <c r="G384" s="60"/>
      <c r="J384" s="61"/>
      <c r="K384" s="62"/>
      <c r="L384" s="62"/>
      <c r="M384" s="62"/>
    </row>
    <row r="385">
      <c r="G385" s="60"/>
      <c r="J385" s="61"/>
      <c r="K385" s="62"/>
      <c r="L385" s="62"/>
      <c r="M385" s="62"/>
    </row>
    <row r="386">
      <c r="G386" s="60"/>
      <c r="J386" s="61"/>
      <c r="K386" s="62"/>
      <c r="L386" s="62"/>
      <c r="M386" s="62"/>
    </row>
    <row r="387">
      <c r="G387" s="60"/>
      <c r="J387" s="61"/>
      <c r="K387" s="62"/>
      <c r="L387" s="62"/>
      <c r="M387" s="62"/>
    </row>
    <row r="388">
      <c r="G388" s="60"/>
      <c r="J388" s="61"/>
      <c r="K388" s="62"/>
      <c r="L388" s="62"/>
      <c r="M388" s="62"/>
    </row>
    <row r="389">
      <c r="G389" s="60"/>
      <c r="J389" s="61"/>
      <c r="K389" s="62"/>
      <c r="L389" s="62"/>
      <c r="M389" s="62"/>
    </row>
    <row r="390">
      <c r="G390" s="60"/>
      <c r="J390" s="61"/>
      <c r="K390" s="62"/>
      <c r="L390" s="62"/>
      <c r="M390" s="62"/>
    </row>
    <row r="391">
      <c r="G391" s="60"/>
      <c r="J391" s="61"/>
      <c r="K391" s="62"/>
      <c r="L391" s="62"/>
      <c r="M391" s="62"/>
    </row>
    <row r="392">
      <c r="G392" s="60"/>
      <c r="J392" s="61"/>
      <c r="K392" s="62"/>
      <c r="L392" s="62"/>
      <c r="M392" s="62"/>
    </row>
    <row r="393">
      <c r="G393" s="60"/>
      <c r="J393" s="61"/>
      <c r="K393" s="62"/>
      <c r="L393" s="62"/>
      <c r="M393" s="62"/>
    </row>
    <row r="394">
      <c r="G394" s="60"/>
      <c r="J394" s="61"/>
      <c r="K394" s="62"/>
      <c r="L394" s="62"/>
      <c r="M394" s="62"/>
    </row>
    <row r="395">
      <c r="G395" s="60"/>
      <c r="J395" s="61"/>
      <c r="K395" s="62"/>
      <c r="L395" s="62"/>
      <c r="M395" s="62"/>
    </row>
    <row r="396">
      <c r="G396" s="60"/>
      <c r="J396" s="61"/>
      <c r="K396" s="62"/>
      <c r="L396" s="62"/>
      <c r="M396" s="62"/>
    </row>
    <row r="397">
      <c r="G397" s="60"/>
      <c r="J397" s="61"/>
      <c r="K397" s="62"/>
      <c r="L397" s="62"/>
      <c r="M397" s="62"/>
    </row>
    <row r="398">
      <c r="G398" s="60"/>
      <c r="J398" s="61"/>
      <c r="K398" s="62"/>
      <c r="L398" s="62"/>
      <c r="M398" s="62"/>
    </row>
    <row r="399">
      <c r="G399" s="60"/>
      <c r="J399" s="61"/>
      <c r="K399" s="62"/>
      <c r="L399" s="62"/>
      <c r="M399" s="62"/>
    </row>
    <row r="400">
      <c r="G400" s="60"/>
      <c r="J400" s="61"/>
      <c r="K400" s="62"/>
      <c r="L400" s="62"/>
      <c r="M400" s="62"/>
    </row>
    <row r="401">
      <c r="G401" s="60"/>
      <c r="J401" s="61"/>
      <c r="K401" s="62"/>
      <c r="L401" s="62"/>
      <c r="M401" s="62"/>
    </row>
    <row r="402">
      <c r="G402" s="60"/>
      <c r="J402" s="61"/>
      <c r="K402" s="62"/>
      <c r="L402" s="62"/>
      <c r="M402" s="62"/>
    </row>
    <row r="403">
      <c r="G403" s="60"/>
      <c r="J403" s="61"/>
      <c r="K403" s="62"/>
      <c r="L403" s="62"/>
      <c r="M403" s="62"/>
    </row>
    <row r="404">
      <c r="G404" s="60"/>
      <c r="J404" s="61"/>
      <c r="K404" s="62"/>
      <c r="L404" s="62"/>
      <c r="M404" s="62"/>
    </row>
    <row r="405">
      <c r="G405" s="60"/>
      <c r="J405" s="61"/>
      <c r="K405" s="62"/>
      <c r="L405" s="62"/>
      <c r="M405" s="62"/>
    </row>
    <row r="406">
      <c r="G406" s="60"/>
      <c r="J406" s="61"/>
      <c r="K406" s="62"/>
      <c r="L406" s="62"/>
      <c r="M406" s="62"/>
    </row>
    <row r="407">
      <c r="G407" s="60"/>
      <c r="J407" s="61"/>
      <c r="K407" s="62"/>
      <c r="L407" s="62"/>
      <c r="M407" s="62"/>
    </row>
    <row r="408">
      <c r="G408" s="60"/>
      <c r="J408" s="61"/>
      <c r="K408" s="62"/>
      <c r="L408" s="62"/>
      <c r="M408" s="62"/>
    </row>
    <row r="409">
      <c r="G409" s="60"/>
      <c r="J409" s="61"/>
      <c r="K409" s="62"/>
      <c r="L409" s="62"/>
      <c r="M409" s="62"/>
    </row>
    <row r="410">
      <c r="G410" s="60"/>
      <c r="J410" s="61"/>
      <c r="K410" s="62"/>
      <c r="L410" s="62"/>
      <c r="M410" s="62"/>
    </row>
    <row r="411">
      <c r="G411" s="60"/>
      <c r="J411" s="61"/>
      <c r="K411" s="62"/>
      <c r="L411" s="62"/>
      <c r="M411" s="62"/>
    </row>
    <row r="412">
      <c r="G412" s="60"/>
      <c r="J412" s="61"/>
      <c r="K412" s="62"/>
      <c r="L412" s="62"/>
      <c r="M412" s="62"/>
    </row>
    <row r="413">
      <c r="G413" s="60"/>
      <c r="J413" s="61"/>
      <c r="K413" s="62"/>
      <c r="L413" s="62"/>
      <c r="M413" s="62"/>
    </row>
    <row r="414">
      <c r="G414" s="60"/>
      <c r="J414" s="61"/>
      <c r="K414" s="62"/>
      <c r="L414" s="62"/>
      <c r="M414" s="62"/>
    </row>
    <row r="415">
      <c r="G415" s="60"/>
      <c r="J415" s="61"/>
      <c r="K415" s="62"/>
      <c r="L415" s="62"/>
      <c r="M415" s="62"/>
    </row>
    <row r="416">
      <c r="G416" s="60"/>
      <c r="J416" s="61"/>
      <c r="K416" s="62"/>
      <c r="L416" s="62"/>
      <c r="M416" s="62"/>
    </row>
    <row r="417">
      <c r="G417" s="60"/>
      <c r="J417" s="61"/>
      <c r="K417" s="62"/>
      <c r="L417" s="62"/>
      <c r="M417" s="62"/>
    </row>
    <row r="418">
      <c r="G418" s="60"/>
      <c r="J418" s="61"/>
      <c r="K418" s="62"/>
      <c r="L418" s="62"/>
      <c r="M418" s="62"/>
    </row>
    <row r="419">
      <c r="G419" s="60"/>
      <c r="J419" s="61"/>
      <c r="K419" s="62"/>
      <c r="L419" s="62"/>
      <c r="M419" s="62"/>
    </row>
    <row r="420">
      <c r="G420" s="60"/>
      <c r="J420" s="61"/>
      <c r="K420" s="62"/>
      <c r="L420" s="62"/>
      <c r="M420" s="62"/>
    </row>
    <row r="421">
      <c r="G421" s="60"/>
      <c r="J421" s="61"/>
      <c r="K421" s="62"/>
      <c r="L421" s="62"/>
      <c r="M421" s="62"/>
    </row>
    <row r="422">
      <c r="G422" s="60"/>
      <c r="J422" s="61"/>
      <c r="K422" s="62"/>
      <c r="L422" s="62"/>
      <c r="M422" s="62"/>
    </row>
    <row r="423">
      <c r="G423" s="60"/>
      <c r="J423" s="61"/>
      <c r="K423" s="62"/>
      <c r="L423" s="62"/>
      <c r="M423" s="62"/>
    </row>
    <row r="424">
      <c r="G424" s="60"/>
      <c r="J424" s="61"/>
      <c r="K424" s="62"/>
      <c r="L424" s="62"/>
      <c r="M424" s="62"/>
    </row>
    <row r="425">
      <c r="G425" s="60"/>
      <c r="J425" s="61"/>
      <c r="K425" s="62"/>
      <c r="L425" s="62"/>
      <c r="M425" s="62"/>
    </row>
    <row r="426">
      <c r="G426" s="60"/>
      <c r="J426" s="61"/>
      <c r="K426" s="62"/>
      <c r="L426" s="62"/>
      <c r="M426" s="62"/>
    </row>
    <row r="427">
      <c r="G427" s="60"/>
      <c r="J427" s="61"/>
      <c r="K427" s="62"/>
      <c r="L427" s="62"/>
      <c r="M427" s="62"/>
    </row>
    <row r="428">
      <c r="G428" s="60"/>
      <c r="J428" s="61"/>
      <c r="K428" s="62"/>
      <c r="L428" s="62"/>
      <c r="M428" s="62"/>
    </row>
    <row r="429">
      <c r="G429" s="60"/>
      <c r="J429" s="61"/>
      <c r="K429" s="62"/>
      <c r="L429" s="62"/>
      <c r="M429" s="62"/>
    </row>
    <row r="430">
      <c r="G430" s="60"/>
      <c r="J430" s="61"/>
      <c r="K430" s="62"/>
      <c r="L430" s="62"/>
      <c r="M430" s="62"/>
    </row>
    <row r="431">
      <c r="G431" s="60"/>
      <c r="J431" s="61"/>
      <c r="K431" s="62"/>
      <c r="L431" s="62"/>
      <c r="M431" s="62"/>
    </row>
    <row r="432">
      <c r="G432" s="60"/>
      <c r="J432" s="61"/>
      <c r="K432" s="62"/>
      <c r="L432" s="62"/>
      <c r="M432" s="62"/>
    </row>
    <row r="433">
      <c r="G433" s="60"/>
      <c r="J433" s="61"/>
      <c r="K433" s="62"/>
      <c r="L433" s="62"/>
      <c r="M433" s="62"/>
    </row>
    <row r="434">
      <c r="G434" s="60"/>
      <c r="J434" s="61"/>
      <c r="K434" s="62"/>
      <c r="L434" s="62"/>
      <c r="M434" s="62"/>
    </row>
    <row r="435">
      <c r="G435" s="60"/>
      <c r="J435" s="61"/>
      <c r="K435" s="62"/>
      <c r="L435" s="62"/>
      <c r="M435" s="62"/>
    </row>
    <row r="436">
      <c r="G436" s="60"/>
      <c r="J436" s="61"/>
      <c r="K436" s="62"/>
      <c r="L436" s="62"/>
      <c r="M436" s="62"/>
    </row>
    <row r="437">
      <c r="G437" s="60"/>
      <c r="J437" s="61"/>
      <c r="K437" s="62"/>
      <c r="L437" s="62"/>
      <c r="M437" s="62"/>
    </row>
    <row r="438">
      <c r="G438" s="60"/>
      <c r="J438" s="61"/>
      <c r="K438" s="62"/>
      <c r="L438" s="62"/>
      <c r="M438" s="62"/>
    </row>
    <row r="439">
      <c r="G439" s="60"/>
      <c r="J439" s="61"/>
      <c r="K439" s="62"/>
      <c r="L439" s="62"/>
      <c r="M439" s="62"/>
    </row>
    <row r="440">
      <c r="G440" s="60"/>
      <c r="J440" s="61"/>
      <c r="K440" s="62"/>
      <c r="L440" s="62"/>
      <c r="M440" s="62"/>
    </row>
    <row r="441">
      <c r="G441" s="60"/>
      <c r="J441" s="61"/>
      <c r="K441" s="62"/>
      <c r="L441" s="62"/>
      <c r="M441" s="62"/>
    </row>
    <row r="442">
      <c r="G442" s="60"/>
      <c r="J442" s="61"/>
      <c r="K442" s="62"/>
      <c r="L442" s="62"/>
      <c r="M442" s="62"/>
    </row>
    <row r="443">
      <c r="G443" s="60"/>
      <c r="J443" s="61"/>
      <c r="K443" s="62"/>
      <c r="L443" s="62"/>
      <c r="M443" s="62"/>
    </row>
    <row r="444">
      <c r="G444" s="60"/>
      <c r="J444" s="61"/>
      <c r="K444" s="62"/>
      <c r="L444" s="62"/>
      <c r="M444" s="62"/>
    </row>
    <row r="445">
      <c r="G445" s="60"/>
      <c r="J445" s="61"/>
      <c r="K445" s="62"/>
      <c r="L445" s="62"/>
      <c r="M445" s="62"/>
    </row>
    <row r="446">
      <c r="G446" s="60"/>
      <c r="J446" s="61"/>
      <c r="K446" s="62"/>
      <c r="L446" s="62"/>
      <c r="M446" s="62"/>
    </row>
    <row r="447">
      <c r="G447" s="60"/>
      <c r="J447" s="61"/>
      <c r="K447" s="62"/>
      <c r="L447" s="62"/>
      <c r="M447" s="62"/>
    </row>
    <row r="448">
      <c r="G448" s="60"/>
      <c r="J448" s="61"/>
      <c r="K448" s="62"/>
      <c r="L448" s="62"/>
      <c r="M448" s="62"/>
    </row>
    <row r="449">
      <c r="G449" s="60"/>
      <c r="J449" s="61"/>
      <c r="K449" s="62"/>
      <c r="L449" s="62"/>
      <c r="M449" s="62"/>
    </row>
    <row r="450">
      <c r="G450" s="60"/>
      <c r="J450" s="61"/>
      <c r="K450" s="62"/>
      <c r="L450" s="62"/>
      <c r="M450" s="62"/>
    </row>
    <row r="451">
      <c r="G451" s="60"/>
      <c r="J451" s="61"/>
      <c r="K451" s="62"/>
      <c r="L451" s="62"/>
      <c r="M451" s="62"/>
    </row>
    <row r="452">
      <c r="G452" s="60"/>
      <c r="J452" s="61"/>
      <c r="K452" s="62"/>
      <c r="L452" s="62"/>
      <c r="M452" s="62"/>
    </row>
    <row r="453">
      <c r="G453" s="60"/>
      <c r="J453" s="61"/>
      <c r="K453" s="62"/>
      <c r="L453" s="62"/>
      <c r="M453" s="62"/>
    </row>
    <row r="454">
      <c r="G454" s="60"/>
      <c r="J454" s="61"/>
      <c r="K454" s="62"/>
      <c r="L454" s="62"/>
      <c r="M454" s="62"/>
    </row>
    <row r="455">
      <c r="G455" s="60"/>
      <c r="J455" s="61"/>
      <c r="K455" s="62"/>
      <c r="L455" s="62"/>
      <c r="M455" s="62"/>
    </row>
    <row r="456">
      <c r="G456" s="60"/>
      <c r="J456" s="61"/>
      <c r="K456" s="62"/>
      <c r="L456" s="62"/>
      <c r="M456" s="62"/>
    </row>
    <row r="457">
      <c r="G457" s="60"/>
      <c r="J457" s="61"/>
      <c r="K457" s="62"/>
      <c r="L457" s="62"/>
      <c r="M457" s="62"/>
    </row>
    <row r="458">
      <c r="G458" s="60"/>
      <c r="J458" s="61"/>
      <c r="K458" s="62"/>
      <c r="L458" s="62"/>
      <c r="M458" s="62"/>
    </row>
    <row r="459">
      <c r="G459" s="60"/>
      <c r="J459" s="61"/>
      <c r="K459" s="62"/>
      <c r="L459" s="62"/>
      <c r="M459" s="62"/>
    </row>
    <row r="460">
      <c r="G460" s="60"/>
      <c r="J460" s="61"/>
      <c r="K460" s="62"/>
      <c r="L460" s="62"/>
      <c r="M460" s="62"/>
    </row>
    <row r="461">
      <c r="G461" s="60"/>
      <c r="J461" s="61"/>
      <c r="K461" s="62"/>
      <c r="L461" s="62"/>
      <c r="M461" s="62"/>
    </row>
    <row r="462">
      <c r="G462" s="60"/>
      <c r="J462" s="61"/>
      <c r="K462" s="62"/>
      <c r="L462" s="62"/>
      <c r="M462" s="62"/>
    </row>
    <row r="463">
      <c r="G463" s="60"/>
      <c r="J463" s="61"/>
      <c r="K463" s="62"/>
      <c r="L463" s="62"/>
      <c r="M463" s="62"/>
    </row>
    <row r="464">
      <c r="G464" s="60"/>
      <c r="J464" s="61"/>
      <c r="K464" s="62"/>
      <c r="L464" s="62"/>
      <c r="M464" s="62"/>
    </row>
    <row r="465">
      <c r="G465" s="60"/>
      <c r="J465" s="61"/>
      <c r="K465" s="62"/>
      <c r="L465" s="62"/>
      <c r="M465" s="62"/>
    </row>
    <row r="466">
      <c r="G466" s="60"/>
      <c r="J466" s="61"/>
      <c r="K466" s="62"/>
      <c r="L466" s="62"/>
      <c r="M466" s="62"/>
    </row>
    <row r="467">
      <c r="G467" s="60"/>
      <c r="J467" s="61"/>
      <c r="K467" s="62"/>
      <c r="L467" s="62"/>
      <c r="M467" s="62"/>
    </row>
    <row r="468">
      <c r="G468" s="60"/>
      <c r="J468" s="61"/>
      <c r="K468" s="62"/>
      <c r="L468" s="62"/>
      <c r="M468" s="62"/>
    </row>
    <row r="469">
      <c r="G469" s="60"/>
      <c r="J469" s="61"/>
      <c r="K469" s="62"/>
      <c r="L469" s="62"/>
      <c r="M469" s="62"/>
    </row>
    <row r="470">
      <c r="G470" s="60"/>
      <c r="J470" s="61"/>
      <c r="K470" s="62"/>
      <c r="L470" s="62"/>
      <c r="M470" s="62"/>
    </row>
    <row r="471">
      <c r="G471" s="60"/>
      <c r="J471" s="61"/>
      <c r="K471" s="62"/>
      <c r="L471" s="62"/>
      <c r="M471" s="62"/>
    </row>
    <row r="472">
      <c r="G472" s="60"/>
      <c r="J472" s="61"/>
      <c r="K472" s="62"/>
      <c r="L472" s="62"/>
      <c r="M472" s="62"/>
    </row>
    <row r="473">
      <c r="G473" s="60"/>
      <c r="J473" s="61"/>
      <c r="K473" s="62"/>
      <c r="L473" s="62"/>
      <c r="M473" s="62"/>
    </row>
    <row r="474">
      <c r="G474" s="60"/>
      <c r="J474" s="61"/>
      <c r="K474" s="62"/>
      <c r="L474" s="62"/>
      <c r="M474" s="62"/>
    </row>
    <row r="475">
      <c r="G475" s="60"/>
      <c r="J475" s="61"/>
      <c r="K475" s="62"/>
      <c r="L475" s="62"/>
      <c r="M475" s="62"/>
    </row>
    <row r="476">
      <c r="G476" s="60"/>
      <c r="J476" s="61"/>
      <c r="K476" s="62"/>
      <c r="L476" s="62"/>
      <c r="M476" s="62"/>
    </row>
    <row r="477">
      <c r="G477" s="60"/>
      <c r="J477" s="61"/>
      <c r="K477" s="62"/>
      <c r="L477" s="62"/>
      <c r="M477" s="62"/>
    </row>
    <row r="478">
      <c r="G478" s="60"/>
      <c r="J478" s="61"/>
      <c r="K478" s="62"/>
      <c r="L478" s="62"/>
      <c r="M478" s="62"/>
    </row>
    <row r="479">
      <c r="G479" s="60"/>
      <c r="J479" s="61"/>
      <c r="K479" s="62"/>
      <c r="L479" s="62"/>
      <c r="M479" s="62"/>
    </row>
    <row r="480">
      <c r="G480" s="60"/>
      <c r="J480" s="61"/>
      <c r="K480" s="62"/>
      <c r="L480" s="62"/>
      <c r="M480" s="62"/>
    </row>
    <row r="481">
      <c r="G481" s="60"/>
      <c r="J481" s="61"/>
      <c r="K481" s="62"/>
      <c r="L481" s="62"/>
      <c r="M481" s="62"/>
    </row>
    <row r="482">
      <c r="G482" s="60"/>
      <c r="J482" s="61"/>
      <c r="K482" s="62"/>
      <c r="L482" s="62"/>
      <c r="M482" s="62"/>
    </row>
    <row r="483">
      <c r="G483" s="60"/>
      <c r="J483" s="61"/>
      <c r="K483" s="62"/>
      <c r="L483" s="62"/>
      <c r="M483" s="62"/>
    </row>
    <row r="484">
      <c r="G484" s="60"/>
      <c r="J484" s="61"/>
      <c r="K484" s="62"/>
      <c r="L484" s="62"/>
      <c r="M484" s="62"/>
    </row>
    <row r="485">
      <c r="G485" s="60"/>
      <c r="J485" s="61"/>
      <c r="K485" s="62"/>
      <c r="L485" s="62"/>
      <c r="M485" s="62"/>
    </row>
    <row r="486">
      <c r="G486" s="60"/>
      <c r="J486" s="61"/>
      <c r="K486" s="62"/>
      <c r="L486" s="62"/>
      <c r="M486" s="62"/>
    </row>
    <row r="487">
      <c r="G487" s="60"/>
      <c r="J487" s="61"/>
      <c r="K487" s="62"/>
      <c r="L487" s="62"/>
      <c r="M487" s="62"/>
    </row>
    <row r="488">
      <c r="G488" s="60"/>
      <c r="J488" s="61"/>
      <c r="K488" s="62"/>
      <c r="L488" s="62"/>
      <c r="M488" s="62"/>
    </row>
    <row r="489">
      <c r="G489" s="60"/>
      <c r="J489" s="61"/>
      <c r="K489" s="62"/>
      <c r="L489" s="62"/>
      <c r="M489" s="62"/>
    </row>
    <row r="490">
      <c r="G490" s="60"/>
      <c r="J490" s="61"/>
      <c r="K490" s="62"/>
      <c r="L490" s="62"/>
      <c r="M490" s="62"/>
    </row>
    <row r="491">
      <c r="G491" s="60"/>
      <c r="J491" s="61"/>
      <c r="K491" s="62"/>
      <c r="L491" s="62"/>
      <c r="M491" s="62"/>
    </row>
    <row r="492">
      <c r="G492" s="60"/>
      <c r="J492" s="61"/>
      <c r="K492" s="62"/>
      <c r="L492" s="62"/>
      <c r="M492" s="62"/>
    </row>
    <row r="493">
      <c r="G493" s="60"/>
      <c r="J493" s="61"/>
      <c r="K493" s="62"/>
      <c r="L493" s="62"/>
      <c r="M493" s="62"/>
    </row>
    <row r="494">
      <c r="G494" s="60"/>
      <c r="J494" s="61"/>
      <c r="K494" s="62"/>
      <c r="L494" s="62"/>
      <c r="M494" s="62"/>
    </row>
    <row r="495">
      <c r="G495" s="60"/>
      <c r="J495" s="61"/>
      <c r="K495" s="62"/>
      <c r="L495" s="62"/>
      <c r="M495" s="62"/>
    </row>
    <row r="496">
      <c r="G496" s="60"/>
      <c r="J496" s="61"/>
      <c r="K496" s="62"/>
      <c r="L496" s="62"/>
      <c r="M496" s="62"/>
    </row>
    <row r="497">
      <c r="G497" s="60"/>
      <c r="J497" s="61"/>
      <c r="K497" s="62"/>
      <c r="L497" s="62"/>
      <c r="M497" s="62"/>
    </row>
    <row r="498">
      <c r="G498" s="60"/>
      <c r="J498" s="61"/>
      <c r="K498" s="62"/>
      <c r="L498" s="62"/>
      <c r="M498" s="62"/>
    </row>
    <row r="499">
      <c r="G499" s="60"/>
      <c r="J499" s="61"/>
      <c r="K499" s="62"/>
      <c r="L499" s="62"/>
      <c r="M499" s="62"/>
    </row>
    <row r="500">
      <c r="G500" s="60"/>
      <c r="J500" s="61"/>
      <c r="K500" s="62"/>
      <c r="L500" s="62"/>
      <c r="M500" s="62"/>
    </row>
    <row r="501">
      <c r="G501" s="60"/>
      <c r="J501" s="61"/>
      <c r="K501" s="62"/>
      <c r="L501" s="62"/>
      <c r="M501" s="62"/>
    </row>
    <row r="502">
      <c r="G502" s="60"/>
      <c r="J502" s="61"/>
      <c r="K502" s="62"/>
      <c r="L502" s="62"/>
      <c r="M502" s="62"/>
    </row>
    <row r="503">
      <c r="G503" s="60"/>
      <c r="J503" s="61"/>
      <c r="K503" s="62"/>
      <c r="L503" s="62"/>
      <c r="M503" s="62"/>
    </row>
    <row r="504">
      <c r="G504" s="60"/>
      <c r="J504" s="61"/>
      <c r="K504" s="62"/>
      <c r="L504" s="62"/>
      <c r="M504" s="62"/>
    </row>
    <row r="505">
      <c r="G505" s="60"/>
      <c r="J505" s="61"/>
      <c r="K505" s="62"/>
      <c r="L505" s="62"/>
      <c r="M505" s="62"/>
    </row>
    <row r="506">
      <c r="G506" s="60"/>
      <c r="J506" s="61"/>
      <c r="K506" s="62"/>
      <c r="L506" s="62"/>
      <c r="M506" s="62"/>
    </row>
    <row r="507">
      <c r="G507" s="60"/>
      <c r="J507" s="61"/>
      <c r="K507" s="62"/>
      <c r="L507" s="62"/>
      <c r="M507" s="62"/>
    </row>
    <row r="508">
      <c r="G508" s="60"/>
      <c r="J508" s="61"/>
      <c r="K508" s="62"/>
      <c r="L508" s="62"/>
      <c r="M508" s="62"/>
    </row>
    <row r="509">
      <c r="G509" s="60"/>
      <c r="J509" s="61"/>
      <c r="K509" s="62"/>
      <c r="L509" s="62"/>
      <c r="M509" s="62"/>
    </row>
    <row r="510">
      <c r="G510" s="60"/>
      <c r="J510" s="61"/>
      <c r="K510" s="62"/>
      <c r="L510" s="62"/>
      <c r="M510" s="62"/>
    </row>
    <row r="511">
      <c r="G511" s="60"/>
      <c r="J511" s="61"/>
      <c r="K511" s="62"/>
      <c r="L511" s="62"/>
      <c r="M511" s="62"/>
    </row>
    <row r="512">
      <c r="G512" s="60"/>
      <c r="J512" s="61"/>
      <c r="K512" s="62"/>
      <c r="L512" s="62"/>
      <c r="M512" s="62"/>
    </row>
    <row r="513">
      <c r="G513" s="60"/>
      <c r="J513" s="61"/>
      <c r="K513" s="62"/>
      <c r="L513" s="62"/>
      <c r="M513" s="62"/>
    </row>
    <row r="514">
      <c r="G514" s="60"/>
      <c r="J514" s="61"/>
      <c r="K514" s="62"/>
      <c r="L514" s="62"/>
      <c r="M514" s="62"/>
    </row>
    <row r="515">
      <c r="G515" s="60"/>
      <c r="J515" s="61"/>
      <c r="K515" s="62"/>
      <c r="L515" s="62"/>
      <c r="M515" s="62"/>
    </row>
    <row r="516">
      <c r="G516" s="60"/>
      <c r="J516" s="61"/>
      <c r="K516" s="62"/>
      <c r="L516" s="62"/>
      <c r="M516" s="62"/>
    </row>
    <row r="517">
      <c r="G517" s="60"/>
      <c r="J517" s="61"/>
      <c r="K517" s="62"/>
      <c r="L517" s="62"/>
      <c r="M517" s="62"/>
    </row>
    <row r="518">
      <c r="G518" s="60"/>
      <c r="J518" s="61"/>
      <c r="K518" s="62"/>
      <c r="L518" s="62"/>
      <c r="M518" s="62"/>
    </row>
    <row r="519">
      <c r="G519" s="60"/>
      <c r="J519" s="61"/>
      <c r="K519" s="62"/>
      <c r="L519" s="62"/>
      <c r="M519" s="62"/>
    </row>
    <row r="520">
      <c r="G520" s="60"/>
      <c r="J520" s="61"/>
      <c r="K520" s="62"/>
      <c r="L520" s="62"/>
      <c r="M520" s="62"/>
    </row>
    <row r="521">
      <c r="G521" s="60"/>
      <c r="J521" s="61"/>
      <c r="K521" s="62"/>
      <c r="L521" s="62"/>
      <c r="M521" s="62"/>
    </row>
    <row r="522">
      <c r="G522" s="60"/>
      <c r="J522" s="61"/>
      <c r="K522" s="62"/>
      <c r="L522" s="62"/>
      <c r="M522" s="62"/>
    </row>
    <row r="523">
      <c r="G523" s="60"/>
      <c r="J523" s="61"/>
      <c r="K523" s="62"/>
      <c r="L523" s="62"/>
      <c r="M523" s="62"/>
    </row>
    <row r="524">
      <c r="G524" s="60"/>
      <c r="J524" s="61"/>
      <c r="K524" s="62"/>
      <c r="L524" s="62"/>
      <c r="M524" s="62"/>
    </row>
    <row r="525">
      <c r="G525" s="60"/>
      <c r="J525" s="61"/>
      <c r="K525" s="62"/>
      <c r="L525" s="62"/>
      <c r="M525" s="62"/>
    </row>
    <row r="526">
      <c r="G526" s="60"/>
      <c r="J526" s="61"/>
      <c r="K526" s="62"/>
      <c r="L526" s="62"/>
      <c r="M526" s="62"/>
    </row>
    <row r="527">
      <c r="G527" s="60"/>
      <c r="J527" s="61"/>
      <c r="K527" s="62"/>
      <c r="L527" s="62"/>
      <c r="M527" s="62"/>
    </row>
    <row r="528">
      <c r="G528" s="60"/>
      <c r="J528" s="61"/>
      <c r="K528" s="62"/>
      <c r="L528" s="62"/>
      <c r="M528" s="62"/>
    </row>
    <row r="529">
      <c r="G529" s="60"/>
      <c r="J529" s="61"/>
      <c r="K529" s="62"/>
      <c r="L529" s="62"/>
      <c r="M529" s="62"/>
    </row>
    <row r="530">
      <c r="G530" s="60"/>
      <c r="J530" s="61"/>
      <c r="K530" s="62"/>
      <c r="L530" s="62"/>
      <c r="M530" s="62"/>
    </row>
    <row r="531">
      <c r="G531" s="60"/>
      <c r="J531" s="61"/>
      <c r="K531" s="62"/>
      <c r="L531" s="62"/>
      <c r="M531" s="62"/>
    </row>
    <row r="532">
      <c r="G532" s="60"/>
      <c r="J532" s="61"/>
      <c r="K532" s="62"/>
      <c r="L532" s="62"/>
      <c r="M532" s="62"/>
    </row>
    <row r="533">
      <c r="G533" s="60"/>
      <c r="J533" s="61"/>
      <c r="K533" s="62"/>
      <c r="L533" s="62"/>
      <c r="M533" s="62"/>
    </row>
    <row r="534">
      <c r="G534" s="60"/>
      <c r="J534" s="61"/>
      <c r="K534" s="62"/>
      <c r="L534" s="62"/>
      <c r="M534" s="62"/>
    </row>
    <row r="535">
      <c r="G535" s="60"/>
      <c r="J535" s="61"/>
      <c r="K535" s="62"/>
      <c r="L535" s="62"/>
      <c r="M535" s="62"/>
    </row>
    <row r="536">
      <c r="G536" s="60"/>
      <c r="J536" s="61"/>
      <c r="K536" s="62"/>
      <c r="L536" s="62"/>
      <c r="M536" s="62"/>
    </row>
    <row r="537">
      <c r="G537" s="60"/>
      <c r="J537" s="61"/>
      <c r="K537" s="62"/>
      <c r="L537" s="62"/>
      <c r="M537" s="62"/>
    </row>
    <row r="538">
      <c r="G538" s="60"/>
      <c r="J538" s="61"/>
      <c r="K538" s="62"/>
      <c r="L538" s="62"/>
      <c r="M538" s="62"/>
    </row>
    <row r="539">
      <c r="G539" s="60"/>
      <c r="J539" s="61"/>
      <c r="K539" s="62"/>
      <c r="L539" s="62"/>
      <c r="M539" s="62"/>
    </row>
    <row r="540">
      <c r="G540" s="60"/>
      <c r="J540" s="61"/>
      <c r="K540" s="62"/>
      <c r="L540" s="62"/>
      <c r="M540" s="62"/>
    </row>
    <row r="541">
      <c r="G541" s="60"/>
      <c r="J541" s="61"/>
      <c r="K541" s="62"/>
      <c r="L541" s="62"/>
      <c r="M541" s="62"/>
    </row>
    <row r="542">
      <c r="G542" s="60"/>
      <c r="J542" s="61"/>
      <c r="K542" s="62"/>
      <c r="L542" s="62"/>
      <c r="M542" s="62"/>
    </row>
    <row r="543">
      <c r="G543" s="60"/>
      <c r="J543" s="61"/>
      <c r="K543" s="62"/>
      <c r="L543" s="62"/>
      <c r="M543" s="62"/>
    </row>
    <row r="544">
      <c r="G544" s="60"/>
      <c r="J544" s="61"/>
      <c r="K544" s="62"/>
      <c r="L544" s="62"/>
      <c r="M544" s="62"/>
    </row>
    <row r="545">
      <c r="G545" s="60"/>
      <c r="J545" s="61"/>
      <c r="K545" s="62"/>
      <c r="L545" s="62"/>
      <c r="M545" s="62"/>
    </row>
    <row r="546">
      <c r="G546" s="60"/>
      <c r="J546" s="61"/>
      <c r="K546" s="62"/>
      <c r="L546" s="62"/>
      <c r="M546" s="62"/>
    </row>
    <row r="547">
      <c r="G547" s="60"/>
      <c r="J547" s="61"/>
      <c r="K547" s="62"/>
      <c r="L547" s="62"/>
      <c r="M547" s="62"/>
    </row>
    <row r="548">
      <c r="G548" s="60"/>
      <c r="J548" s="61"/>
      <c r="K548" s="62"/>
      <c r="L548" s="62"/>
      <c r="M548" s="62"/>
    </row>
    <row r="549">
      <c r="G549" s="60"/>
      <c r="J549" s="61"/>
      <c r="K549" s="62"/>
      <c r="L549" s="62"/>
      <c r="M549" s="62"/>
    </row>
    <row r="550">
      <c r="G550" s="60"/>
      <c r="J550" s="61"/>
      <c r="K550" s="62"/>
      <c r="L550" s="62"/>
      <c r="M550" s="62"/>
    </row>
    <row r="551">
      <c r="G551" s="60"/>
      <c r="J551" s="61"/>
      <c r="K551" s="62"/>
      <c r="L551" s="62"/>
      <c r="M551" s="62"/>
    </row>
    <row r="552">
      <c r="G552" s="60"/>
      <c r="J552" s="61"/>
      <c r="K552" s="62"/>
      <c r="L552" s="62"/>
      <c r="M552" s="62"/>
    </row>
    <row r="553">
      <c r="G553" s="60"/>
      <c r="J553" s="61"/>
      <c r="K553" s="62"/>
      <c r="L553" s="62"/>
      <c r="M553" s="62"/>
    </row>
    <row r="554">
      <c r="G554" s="60"/>
      <c r="J554" s="61"/>
      <c r="K554" s="62"/>
      <c r="L554" s="62"/>
      <c r="M554" s="62"/>
    </row>
    <row r="555">
      <c r="G555" s="60"/>
      <c r="J555" s="61"/>
      <c r="K555" s="62"/>
      <c r="L555" s="62"/>
      <c r="M555" s="62"/>
    </row>
    <row r="556">
      <c r="G556" s="60"/>
      <c r="J556" s="61"/>
      <c r="K556" s="62"/>
      <c r="L556" s="62"/>
      <c r="M556" s="62"/>
    </row>
    <row r="557">
      <c r="G557" s="60"/>
      <c r="J557" s="61"/>
      <c r="K557" s="62"/>
      <c r="L557" s="62"/>
      <c r="M557" s="62"/>
    </row>
    <row r="558">
      <c r="G558" s="60"/>
      <c r="J558" s="61"/>
      <c r="K558" s="62"/>
      <c r="L558" s="62"/>
      <c r="M558" s="62"/>
    </row>
    <row r="559">
      <c r="G559" s="60"/>
      <c r="J559" s="61"/>
      <c r="K559" s="62"/>
      <c r="L559" s="62"/>
      <c r="M559" s="62"/>
    </row>
    <row r="560">
      <c r="G560" s="60"/>
      <c r="J560" s="61"/>
      <c r="K560" s="62"/>
      <c r="L560" s="62"/>
      <c r="M560" s="62"/>
    </row>
    <row r="561">
      <c r="G561" s="60"/>
      <c r="J561" s="61"/>
      <c r="K561" s="62"/>
      <c r="L561" s="62"/>
      <c r="M561" s="62"/>
    </row>
    <row r="562">
      <c r="G562" s="60"/>
      <c r="J562" s="61"/>
      <c r="K562" s="62"/>
      <c r="L562" s="62"/>
      <c r="M562" s="62"/>
    </row>
    <row r="563">
      <c r="G563" s="60"/>
      <c r="J563" s="61"/>
      <c r="K563" s="62"/>
      <c r="L563" s="62"/>
      <c r="M563" s="62"/>
    </row>
    <row r="564">
      <c r="G564" s="60"/>
      <c r="J564" s="61"/>
      <c r="K564" s="62"/>
      <c r="L564" s="62"/>
      <c r="M564" s="62"/>
    </row>
    <row r="565">
      <c r="G565" s="60"/>
      <c r="J565" s="61"/>
      <c r="K565" s="62"/>
      <c r="L565" s="62"/>
      <c r="M565" s="62"/>
    </row>
    <row r="566">
      <c r="G566" s="60"/>
      <c r="J566" s="61"/>
      <c r="K566" s="62"/>
      <c r="L566" s="62"/>
      <c r="M566" s="62"/>
    </row>
    <row r="567">
      <c r="G567" s="60"/>
      <c r="J567" s="61"/>
      <c r="K567" s="62"/>
      <c r="L567" s="62"/>
      <c r="M567" s="62"/>
    </row>
    <row r="568">
      <c r="G568" s="60"/>
      <c r="J568" s="61"/>
      <c r="K568" s="62"/>
      <c r="L568" s="62"/>
      <c r="M568" s="62"/>
    </row>
    <row r="569">
      <c r="G569" s="60"/>
      <c r="J569" s="61"/>
      <c r="K569" s="62"/>
      <c r="L569" s="62"/>
      <c r="M569" s="62"/>
    </row>
    <row r="570">
      <c r="G570" s="60"/>
      <c r="J570" s="61"/>
      <c r="K570" s="62"/>
      <c r="L570" s="62"/>
      <c r="M570" s="62"/>
    </row>
    <row r="571">
      <c r="G571" s="60"/>
      <c r="J571" s="61"/>
      <c r="K571" s="62"/>
      <c r="L571" s="62"/>
      <c r="M571" s="62"/>
    </row>
    <row r="572">
      <c r="G572" s="60"/>
      <c r="J572" s="61"/>
      <c r="K572" s="62"/>
      <c r="L572" s="62"/>
      <c r="M572" s="62"/>
    </row>
    <row r="573">
      <c r="G573" s="60"/>
      <c r="J573" s="61"/>
      <c r="K573" s="62"/>
      <c r="L573" s="62"/>
      <c r="M573" s="62"/>
    </row>
    <row r="574">
      <c r="G574" s="60"/>
      <c r="J574" s="61"/>
      <c r="K574" s="62"/>
      <c r="L574" s="62"/>
      <c r="M574" s="62"/>
    </row>
    <row r="575">
      <c r="G575" s="60"/>
      <c r="J575" s="61"/>
      <c r="K575" s="62"/>
      <c r="L575" s="62"/>
      <c r="M575" s="62"/>
    </row>
    <row r="576">
      <c r="G576" s="60"/>
      <c r="J576" s="61"/>
      <c r="K576" s="62"/>
      <c r="L576" s="62"/>
      <c r="M576" s="62"/>
    </row>
    <row r="577">
      <c r="G577" s="60"/>
      <c r="J577" s="61"/>
      <c r="K577" s="62"/>
      <c r="L577" s="62"/>
      <c r="M577" s="62"/>
    </row>
    <row r="578">
      <c r="G578" s="60"/>
      <c r="J578" s="61"/>
      <c r="K578" s="62"/>
      <c r="L578" s="62"/>
      <c r="M578" s="62"/>
    </row>
    <row r="579">
      <c r="G579" s="60"/>
      <c r="J579" s="61"/>
      <c r="K579" s="62"/>
      <c r="L579" s="62"/>
      <c r="M579" s="62"/>
    </row>
    <row r="580">
      <c r="G580" s="60"/>
      <c r="J580" s="61"/>
      <c r="K580" s="62"/>
      <c r="L580" s="62"/>
      <c r="M580" s="62"/>
    </row>
    <row r="581">
      <c r="G581" s="60"/>
      <c r="J581" s="61"/>
      <c r="K581" s="62"/>
      <c r="L581" s="62"/>
      <c r="M581" s="62"/>
    </row>
    <row r="582">
      <c r="G582" s="60"/>
      <c r="J582" s="61"/>
      <c r="K582" s="62"/>
      <c r="L582" s="62"/>
      <c r="M582" s="62"/>
    </row>
    <row r="583">
      <c r="G583" s="60"/>
      <c r="J583" s="61"/>
      <c r="K583" s="62"/>
      <c r="L583" s="62"/>
      <c r="M583" s="62"/>
    </row>
    <row r="584">
      <c r="G584" s="60"/>
      <c r="J584" s="61"/>
      <c r="K584" s="62"/>
      <c r="L584" s="62"/>
      <c r="M584" s="62"/>
    </row>
    <row r="585">
      <c r="G585" s="60"/>
      <c r="J585" s="61"/>
      <c r="K585" s="62"/>
      <c r="L585" s="62"/>
      <c r="M585" s="62"/>
    </row>
    <row r="586">
      <c r="G586" s="60"/>
      <c r="J586" s="61"/>
      <c r="K586" s="62"/>
      <c r="L586" s="62"/>
      <c r="M586" s="62"/>
    </row>
    <row r="587">
      <c r="G587" s="60"/>
      <c r="J587" s="61"/>
      <c r="K587" s="62"/>
      <c r="L587" s="62"/>
      <c r="M587" s="62"/>
    </row>
    <row r="588">
      <c r="G588" s="60"/>
      <c r="J588" s="61"/>
      <c r="K588" s="62"/>
      <c r="L588" s="62"/>
      <c r="M588" s="62"/>
    </row>
    <row r="589">
      <c r="G589" s="60"/>
      <c r="J589" s="61"/>
      <c r="K589" s="62"/>
      <c r="L589" s="62"/>
      <c r="M589" s="62"/>
    </row>
    <row r="590">
      <c r="G590" s="60"/>
      <c r="J590" s="61"/>
      <c r="K590" s="62"/>
      <c r="L590" s="62"/>
      <c r="M590" s="62"/>
    </row>
    <row r="591">
      <c r="G591" s="60"/>
      <c r="J591" s="61"/>
      <c r="K591" s="62"/>
      <c r="L591" s="62"/>
      <c r="M591" s="62"/>
    </row>
    <row r="592">
      <c r="G592" s="60"/>
      <c r="J592" s="61"/>
      <c r="K592" s="62"/>
      <c r="L592" s="62"/>
      <c r="M592" s="62"/>
    </row>
    <row r="593">
      <c r="G593" s="60"/>
      <c r="J593" s="61"/>
      <c r="K593" s="62"/>
      <c r="L593" s="62"/>
      <c r="M593" s="62"/>
    </row>
    <row r="594">
      <c r="G594" s="60"/>
      <c r="J594" s="61"/>
      <c r="K594" s="62"/>
      <c r="L594" s="62"/>
      <c r="M594" s="62"/>
    </row>
    <row r="595">
      <c r="G595" s="60"/>
      <c r="J595" s="61"/>
      <c r="K595" s="62"/>
      <c r="L595" s="62"/>
      <c r="M595" s="62"/>
    </row>
    <row r="596">
      <c r="G596" s="60"/>
      <c r="J596" s="61"/>
      <c r="K596" s="62"/>
      <c r="L596" s="62"/>
      <c r="M596" s="62"/>
    </row>
    <row r="597">
      <c r="G597" s="60"/>
      <c r="J597" s="61"/>
      <c r="K597" s="62"/>
      <c r="L597" s="62"/>
      <c r="M597" s="62"/>
    </row>
    <row r="598">
      <c r="G598" s="60"/>
      <c r="J598" s="61"/>
      <c r="K598" s="62"/>
      <c r="L598" s="62"/>
      <c r="M598" s="62"/>
    </row>
    <row r="599">
      <c r="G599" s="60"/>
      <c r="J599" s="61"/>
      <c r="K599" s="62"/>
      <c r="L599" s="62"/>
      <c r="M599" s="62"/>
    </row>
    <row r="600">
      <c r="G600" s="60"/>
      <c r="J600" s="61"/>
      <c r="K600" s="62"/>
      <c r="L600" s="62"/>
      <c r="M600" s="62"/>
    </row>
    <row r="601">
      <c r="G601" s="60"/>
      <c r="J601" s="61"/>
      <c r="K601" s="62"/>
      <c r="L601" s="62"/>
      <c r="M601" s="62"/>
    </row>
    <row r="602">
      <c r="G602" s="60"/>
      <c r="J602" s="61"/>
      <c r="K602" s="62"/>
      <c r="L602" s="62"/>
      <c r="M602" s="62"/>
    </row>
    <row r="603">
      <c r="G603" s="60"/>
      <c r="J603" s="61"/>
      <c r="K603" s="62"/>
      <c r="L603" s="62"/>
      <c r="M603" s="62"/>
    </row>
    <row r="604">
      <c r="G604" s="60"/>
      <c r="J604" s="61"/>
      <c r="K604" s="62"/>
      <c r="L604" s="62"/>
      <c r="M604" s="62"/>
    </row>
    <row r="605">
      <c r="G605" s="60"/>
      <c r="J605" s="61"/>
      <c r="K605" s="62"/>
      <c r="L605" s="62"/>
      <c r="M605" s="62"/>
    </row>
    <row r="606">
      <c r="G606" s="60"/>
      <c r="J606" s="61"/>
      <c r="K606" s="62"/>
      <c r="L606" s="62"/>
      <c r="M606" s="62"/>
    </row>
    <row r="607">
      <c r="G607" s="60"/>
      <c r="J607" s="61"/>
      <c r="K607" s="62"/>
      <c r="L607" s="62"/>
      <c r="M607" s="62"/>
    </row>
    <row r="608">
      <c r="G608" s="60"/>
      <c r="J608" s="61"/>
      <c r="K608" s="62"/>
      <c r="L608" s="62"/>
      <c r="M608" s="62"/>
    </row>
    <row r="609">
      <c r="G609" s="60"/>
      <c r="J609" s="61"/>
      <c r="K609" s="62"/>
      <c r="L609" s="62"/>
      <c r="M609" s="62"/>
    </row>
    <row r="610">
      <c r="G610" s="60"/>
      <c r="J610" s="61"/>
      <c r="K610" s="62"/>
      <c r="L610" s="62"/>
      <c r="M610" s="62"/>
    </row>
    <row r="611">
      <c r="G611" s="60"/>
      <c r="J611" s="61"/>
      <c r="K611" s="62"/>
      <c r="L611" s="62"/>
      <c r="M611" s="62"/>
    </row>
    <row r="612">
      <c r="G612" s="60"/>
      <c r="J612" s="61"/>
      <c r="K612" s="62"/>
      <c r="L612" s="62"/>
      <c r="M612" s="62"/>
    </row>
    <row r="613">
      <c r="G613" s="60"/>
      <c r="J613" s="61"/>
      <c r="K613" s="62"/>
      <c r="L613" s="62"/>
      <c r="M613" s="62"/>
    </row>
    <row r="614">
      <c r="G614" s="60"/>
      <c r="J614" s="61"/>
      <c r="K614" s="62"/>
      <c r="L614" s="62"/>
      <c r="M614" s="62"/>
    </row>
    <row r="615">
      <c r="G615" s="60"/>
      <c r="J615" s="61"/>
      <c r="K615" s="62"/>
      <c r="L615" s="62"/>
      <c r="M615" s="62"/>
    </row>
    <row r="616">
      <c r="G616" s="60"/>
      <c r="J616" s="61"/>
      <c r="K616" s="62"/>
      <c r="L616" s="62"/>
      <c r="M616" s="62"/>
    </row>
    <row r="617">
      <c r="G617" s="60"/>
      <c r="J617" s="61"/>
      <c r="K617" s="62"/>
      <c r="L617" s="62"/>
      <c r="M617" s="62"/>
    </row>
    <row r="618">
      <c r="G618" s="60"/>
      <c r="J618" s="61"/>
      <c r="K618" s="62"/>
      <c r="L618" s="62"/>
      <c r="M618" s="62"/>
    </row>
    <row r="619">
      <c r="G619" s="60"/>
      <c r="J619" s="61"/>
      <c r="K619" s="62"/>
      <c r="L619" s="62"/>
      <c r="M619" s="62"/>
    </row>
    <row r="620">
      <c r="G620" s="60"/>
      <c r="J620" s="61"/>
      <c r="K620" s="62"/>
      <c r="L620" s="62"/>
      <c r="M620" s="62"/>
    </row>
    <row r="621">
      <c r="G621" s="60"/>
      <c r="J621" s="61"/>
      <c r="K621" s="62"/>
      <c r="L621" s="62"/>
      <c r="M621" s="62"/>
    </row>
    <row r="622">
      <c r="G622" s="60"/>
      <c r="J622" s="61"/>
      <c r="K622" s="62"/>
      <c r="L622" s="62"/>
      <c r="M622" s="62"/>
    </row>
    <row r="623">
      <c r="G623" s="60"/>
      <c r="J623" s="61"/>
      <c r="K623" s="62"/>
      <c r="L623" s="62"/>
      <c r="M623" s="62"/>
    </row>
    <row r="624">
      <c r="G624" s="60"/>
      <c r="J624" s="61"/>
      <c r="K624" s="62"/>
      <c r="L624" s="62"/>
      <c r="M624" s="62"/>
    </row>
    <row r="625">
      <c r="G625" s="60"/>
      <c r="J625" s="61"/>
      <c r="K625" s="62"/>
      <c r="L625" s="62"/>
      <c r="M625" s="62"/>
    </row>
    <row r="626">
      <c r="G626" s="60"/>
      <c r="J626" s="61"/>
      <c r="K626" s="62"/>
      <c r="L626" s="62"/>
      <c r="M626" s="62"/>
    </row>
    <row r="627">
      <c r="G627" s="60"/>
      <c r="J627" s="61"/>
      <c r="K627" s="62"/>
      <c r="L627" s="62"/>
      <c r="M627" s="62"/>
    </row>
    <row r="628">
      <c r="G628" s="60"/>
      <c r="J628" s="61"/>
      <c r="K628" s="62"/>
      <c r="L628" s="62"/>
      <c r="M628" s="62"/>
    </row>
    <row r="629">
      <c r="G629" s="60"/>
      <c r="J629" s="61"/>
      <c r="K629" s="62"/>
      <c r="L629" s="62"/>
      <c r="M629" s="62"/>
    </row>
    <row r="630">
      <c r="G630" s="60"/>
      <c r="J630" s="61"/>
      <c r="K630" s="62"/>
      <c r="L630" s="62"/>
      <c r="M630" s="62"/>
    </row>
    <row r="631">
      <c r="G631" s="60"/>
      <c r="J631" s="61"/>
      <c r="K631" s="62"/>
      <c r="L631" s="62"/>
      <c r="M631" s="62"/>
    </row>
    <row r="632">
      <c r="G632" s="60"/>
      <c r="J632" s="61"/>
      <c r="K632" s="62"/>
      <c r="L632" s="62"/>
      <c r="M632" s="62"/>
    </row>
    <row r="633">
      <c r="G633" s="60"/>
      <c r="J633" s="61"/>
      <c r="K633" s="62"/>
      <c r="L633" s="62"/>
      <c r="M633" s="62"/>
    </row>
    <row r="634">
      <c r="G634" s="60"/>
      <c r="J634" s="61"/>
      <c r="K634" s="62"/>
      <c r="L634" s="62"/>
      <c r="M634" s="62"/>
    </row>
    <row r="635">
      <c r="G635" s="60"/>
      <c r="J635" s="61"/>
      <c r="K635" s="62"/>
      <c r="L635" s="62"/>
      <c r="M635" s="62"/>
    </row>
    <row r="636">
      <c r="G636" s="60"/>
      <c r="J636" s="61"/>
      <c r="K636" s="62"/>
      <c r="L636" s="62"/>
      <c r="M636" s="62"/>
    </row>
    <row r="637">
      <c r="G637" s="60"/>
      <c r="J637" s="61"/>
      <c r="K637" s="62"/>
      <c r="L637" s="62"/>
      <c r="M637" s="62"/>
    </row>
    <row r="638">
      <c r="G638" s="60"/>
      <c r="J638" s="61"/>
      <c r="K638" s="62"/>
      <c r="L638" s="62"/>
      <c r="M638" s="62"/>
    </row>
    <row r="639">
      <c r="G639" s="60"/>
      <c r="J639" s="61"/>
      <c r="K639" s="62"/>
      <c r="L639" s="62"/>
      <c r="M639" s="62"/>
    </row>
    <row r="640">
      <c r="G640" s="60"/>
      <c r="J640" s="61"/>
      <c r="K640" s="62"/>
      <c r="L640" s="62"/>
      <c r="M640" s="62"/>
    </row>
    <row r="641">
      <c r="G641" s="60"/>
      <c r="J641" s="61"/>
      <c r="K641" s="62"/>
      <c r="L641" s="62"/>
      <c r="M641" s="62"/>
    </row>
    <row r="642">
      <c r="G642" s="60"/>
      <c r="J642" s="61"/>
      <c r="K642" s="62"/>
      <c r="L642" s="62"/>
      <c r="M642" s="62"/>
    </row>
    <row r="643">
      <c r="G643" s="60"/>
      <c r="J643" s="61"/>
      <c r="K643" s="62"/>
      <c r="L643" s="62"/>
      <c r="M643" s="62"/>
    </row>
    <row r="644">
      <c r="G644" s="60"/>
      <c r="J644" s="61"/>
      <c r="K644" s="62"/>
      <c r="L644" s="62"/>
      <c r="M644" s="62"/>
    </row>
    <row r="645">
      <c r="G645" s="60"/>
      <c r="J645" s="61"/>
      <c r="K645" s="62"/>
      <c r="L645" s="62"/>
      <c r="M645" s="62"/>
    </row>
    <row r="646">
      <c r="G646" s="60"/>
      <c r="J646" s="61"/>
      <c r="K646" s="62"/>
      <c r="L646" s="62"/>
      <c r="M646" s="62"/>
    </row>
    <row r="647">
      <c r="G647" s="60"/>
      <c r="J647" s="61"/>
      <c r="K647" s="62"/>
      <c r="L647" s="62"/>
      <c r="M647" s="62"/>
    </row>
    <row r="648">
      <c r="G648" s="60"/>
      <c r="J648" s="61"/>
      <c r="K648" s="62"/>
      <c r="L648" s="62"/>
      <c r="M648" s="62"/>
    </row>
    <row r="649">
      <c r="G649" s="60"/>
      <c r="J649" s="61"/>
      <c r="K649" s="62"/>
      <c r="L649" s="62"/>
      <c r="M649" s="62"/>
    </row>
    <row r="650">
      <c r="G650" s="60"/>
      <c r="J650" s="61"/>
      <c r="K650" s="62"/>
      <c r="L650" s="62"/>
      <c r="M650" s="62"/>
    </row>
    <row r="651">
      <c r="G651" s="60"/>
      <c r="J651" s="61"/>
      <c r="K651" s="62"/>
      <c r="L651" s="62"/>
      <c r="M651" s="62"/>
    </row>
    <row r="652">
      <c r="G652" s="60"/>
      <c r="J652" s="61"/>
      <c r="K652" s="62"/>
      <c r="L652" s="62"/>
      <c r="M652" s="62"/>
    </row>
    <row r="653">
      <c r="G653" s="60"/>
      <c r="J653" s="61"/>
      <c r="K653" s="62"/>
      <c r="L653" s="62"/>
      <c r="M653" s="62"/>
    </row>
    <row r="654">
      <c r="G654" s="60"/>
      <c r="J654" s="61"/>
      <c r="K654" s="62"/>
      <c r="L654" s="62"/>
      <c r="M654" s="62"/>
    </row>
    <row r="655">
      <c r="G655" s="60"/>
      <c r="J655" s="61"/>
      <c r="K655" s="62"/>
      <c r="L655" s="62"/>
      <c r="M655" s="62"/>
    </row>
    <row r="656">
      <c r="G656" s="60"/>
      <c r="J656" s="61"/>
      <c r="K656" s="62"/>
      <c r="L656" s="62"/>
      <c r="M656" s="62"/>
    </row>
    <row r="657">
      <c r="G657" s="60"/>
      <c r="J657" s="61"/>
      <c r="K657" s="62"/>
      <c r="L657" s="62"/>
      <c r="M657" s="62"/>
    </row>
    <row r="658">
      <c r="G658" s="60"/>
      <c r="J658" s="61"/>
      <c r="K658" s="62"/>
      <c r="L658" s="62"/>
      <c r="M658" s="62"/>
    </row>
    <row r="659">
      <c r="G659" s="60"/>
      <c r="J659" s="61"/>
      <c r="K659" s="62"/>
      <c r="L659" s="62"/>
      <c r="M659" s="62"/>
    </row>
    <row r="660">
      <c r="G660" s="60"/>
      <c r="J660" s="61"/>
      <c r="K660" s="62"/>
      <c r="L660" s="62"/>
      <c r="M660" s="62"/>
    </row>
    <row r="661">
      <c r="G661" s="60"/>
      <c r="J661" s="61"/>
      <c r="K661" s="62"/>
      <c r="L661" s="62"/>
      <c r="M661" s="62"/>
    </row>
    <row r="662">
      <c r="G662" s="60"/>
      <c r="J662" s="61"/>
      <c r="K662" s="62"/>
      <c r="L662" s="62"/>
      <c r="M662" s="62"/>
    </row>
    <row r="663">
      <c r="G663" s="60"/>
      <c r="J663" s="61"/>
      <c r="K663" s="62"/>
      <c r="L663" s="62"/>
      <c r="M663" s="62"/>
    </row>
    <row r="664">
      <c r="G664" s="60"/>
      <c r="J664" s="61"/>
      <c r="K664" s="62"/>
      <c r="L664" s="62"/>
      <c r="M664" s="62"/>
    </row>
    <row r="665">
      <c r="G665" s="60"/>
      <c r="J665" s="61"/>
      <c r="K665" s="62"/>
      <c r="L665" s="62"/>
      <c r="M665" s="62"/>
    </row>
    <row r="666">
      <c r="G666" s="60"/>
      <c r="J666" s="61"/>
      <c r="K666" s="62"/>
      <c r="L666" s="62"/>
      <c r="M666" s="62"/>
    </row>
    <row r="667">
      <c r="G667" s="60"/>
      <c r="J667" s="61"/>
      <c r="K667" s="62"/>
      <c r="L667" s="62"/>
      <c r="M667" s="62"/>
    </row>
    <row r="668">
      <c r="G668" s="60"/>
      <c r="J668" s="61"/>
      <c r="K668" s="62"/>
      <c r="L668" s="62"/>
      <c r="M668" s="62"/>
    </row>
    <row r="669">
      <c r="G669" s="60"/>
      <c r="J669" s="61"/>
      <c r="K669" s="62"/>
      <c r="L669" s="62"/>
      <c r="M669" s="62"/>
    </row>
    <row r="670">
      <c r="G670" s="60"/>
      <c r="J670" s="61"/>
      <c r="K670" s="62"/>
      <c r="L670" s="62"/>
      <c r="M670" s="62"/>
    </row>
    <row r="671">
      <c r="G671" s="60"/>
      <c r="J671" s="61"/>
      <c r="K671" s="62"/>
      <c r="L671" s="62"/>
      <c r="M671" s="62"/>
    </row>
    <row r="672">
      <c r="G672" s="60"/>
      <c r="J672" s="61"/>
      <c r="K672" s="62"/>
      <c r="L672" s="62"/>
      <c r="M672" s="62"/>
    </row>
    <row r="673">
      <c r="G673" s="60"/>
      <c r="J673" s="61"/>
      <c r="K673" s="62"/>
      <c r="L673" s="62"/>
      <c r="M673" s="62"/>
    </row>
    <row r="674">
      <c r="G674" s="60"/>
      <c r="J674" s="61"/>
      <c r="K674" s="62"/>
      <c r="L674" s="62"/>
      <c r="M674" s="62"/>
    </row>
    <row r="675">
      <c r="G675" s="60"/>
      <c r="J675" s="61"/>
      <c r="K675" s="62"/>
      <c r="L675" s="62"/>
      <c r="M675" s="62"/>
    </row>
    <row r="676">
      <c r="G676" s="60"/>
      <c r="J676" s="61"/>
      <c r="K676" s="62"/>
      <c r="L676" s="62"/>
      <c r="M676" s="62"/>
    </row>
    <row r="677">
      <c r="G677" s="60"/>
      <c r="J677" s="61"/>
      <c r="K677" s="62"/>
      <c r="L677" s="62"/>
      <c r="M677" s="62"/>
    </row>
    <row r="678">
      <c r="G678" s="60"/>
      <c r="J678" s="61"/>
      <c r="K678" s="62"/>
      <c r="L678" s="62"/>
      <c r="M678" s="62"/>
    </row>
    <row r="679">
      <c r="G679" s="60"/>
      <c r="J679" s="61"/>
      <c r="K679" s="62"/>
      <c r="L679" s="62"/>
      <c r="M679" s="62"/>
    </row>
    <row r="680">
      <c r="G680" s="60"/>
      <c r="J680" s="61"/>
      <c r="K680" s="62"/>
      <c r="L680" s="62"/>
      <c r="M680" s="62"/>
    </row>
    <row r="681">
      <c r="G681" s="60"/>
      <c r="J681" s="61"/>
      <c r="K681" s="62"/>
      <c r="L681" s="62"/>
      <c r="M681" s="62"/>
    </row>
    <row r="682">
      <c r="G682" s="60"/>
      <c r="J682" s="61"/>
      <c r="K682" s="62"/>
      <c r="L682" s="62"/>
      <c r="M682" s="62"/>
    </row>
    <row r="683">
      <c r="G683" s="60"/>
      <c r="J683" s="61"/>
      <c r="K683" s="62"/>
      <c r="L683" s="62"/>
      <c r="M683" s="62"/>
    </row>
    <row r="684">
      <c r="G684" s="60"/>
      <c r="J684" s="61"/>
      <c r="K684" s="62"/>
      <c r="L684" s="62"/>
      <c r="M684" s="62"/>
    </row>
    <row r="685">
      <c r="G685" s="60"/>
      <c r="J685" s="61"/>
      <c r="K685" s="62"/>
      <c r="L685" s="62"/>
      <c r="M685" s="62"/>
    </row>
    <row r="686">
      <c r="G686" s="60"/>
      <c r="J686" s="61"/>
      <c r="K686" s="62"/>
      <c r="L686" s="62"/>
      <c r="M686" s="62"/>
    </row>
    <row r="687">
      <c r="G687" s="60"/>
      <c r="J687" s="61"/>
      <c r="K687" s="62"/>
      <c r="L687" s="62"/>
      <c r="M687" s="62"/>
    </row>
    <row r="688">
      <c r="G688" s="60"/>
      <c r="J688" s="61"/>
      <c r="K688" s="62"/>
      <c r="L688" s="62"/>
      <c r="M688" s="62"/>
    </row>
    <row r="689">
      <c r="G689" s="60"/>
      <c r="J689" s="61"/>
      <c r="K689" s="62"/>
      <c r="L689" s="62"/>
      <c r="M689" s="62"/>
    </row>
    <row r="690">
      <c r="G690" s="60"/>
      <c r="J690" s="61"/>
      <c r="K690" s="62"/>
      <c r="L690" s="62"/>
      <c r="M690" s="62"/>
    </row>
    <row r="691">
      <c r="G691" s="60"/>
      <c r="J691" s="61"/>
      <c r="K691" s="62"/>
      <c r="L691" s="62"/>
      <c r="M691" s="62"/>
    </row>
    <row r="692">
      <c r="G692" s="60"/>
      <c r="J692" s="61"/>
      <c r="K692" s="62"/>
      <c r="L692" s="62"/>
      <c r="M692" s="62"/>
    </row>
    <row r="693">
      <c r="G693" s="60"/>
      <c r="J693" s="61"/>
      <c r="K693" s="62"/>
      <c r="L693" s="62"/>
      <c r="M693" s="62"/>
    </row>
    <row r="694">
      <c r="G694" s="60"/>
      <c r="J694" s="61"/>
      <c r="K694" s="62"/>
      <c r="L694" s="62"/>
      <c r="M694" s="62"/>
    </row>
    <row r="695">
      <c r="G695" s="60"/>
      <c r="J695" s="61"/>
      <c r="K695" s="62"/>
      <c r="L695" s="62"/>
      <c r="M695" s="62"/>
    </row>
    <row r="696">
      <c r="G696" s="60"/>
      <c r="J696" s="61"/>
      <c r="K696" s="62"/>
      <c r="L696" s="62"/>
      <c r="M696" s="62"/>
    </row>
    <row r="697">
      <c r="G697" s="60"/>
      <c r="J697" s="61"/>
      <c r="K697" s="62"/>
      <c r="L697" s="62"/>
      <c r="M697" s="62"/>
    </row>
    <row r="698">
      <c r="G698" s="60"/>
      <c r="J698" s="61"/>
      <c r="K698" s="62"/>
      <c r="L698" s="62"/>
      <c r="M698" s="62"/>
    </row>
    <row r="699">
      <c r="G699" s="60"/>
      <c r="J699" s="61"/>
      <c r="K699" s="62"/>
      <c r="L699" s="62"/>
      <c r="M699" s="62"/>
    </row>
    <row r="700">
      <c r="G700" s="60"/>
      <c r="J700" s="61"/>
      <c r="K700" s="62"/>
      <c r="L700" s="62"/>
      <c r="M700" s="62"/>
    </row>
    <row r="701">
      <c r="G701" s="60"/>
      <c r="J701" s="61"/>
      <c r="K701" s="62"/>
      <c r="L701" s="62"/>
      <c r="M701" s="62"/>
    </row>
    <row r="702">
      <c r="G702" s="60"/>
      <c r="J702" s="61"/>
      <c r="K702" s="62"/>
      <c r="L702" s="62"/>
      <c r="M702" s="62"/>
    </row>
    <row r="703">
      <c r="G703" s="60"/>
      <c r="J703" s="61"/>
      <c r="K703" s="62"/>
      <c r="L703" s="62"/>
      <c r="M703" s="62"/>
    </row>
    <row r="704">
      <c r="G704" s="60"/>
      <c r="J704" s="61"/>
      <c r="K704" s="62"/>
      <c r="L704" s="62"/>
      <c r="M704" s="62"/>
    </row>
    <row r="705">
      <c r="G705" s="60"/>
      <c r="J705" s="61"/>
      <c r="K705" s="62"/>
      <c r="L705" s="62"/>
      <c r="M705" s="62"/>
    </row>
    <row r="706">
      <c r="G706" s="60"/>
      <c r="J706" s="61"/>
      <c r="K706" s="62"/>
      <c r="L706" s="62"/>
      <c r="M706" s="62"/>
    </row>
    <row r="707">
      <c r="G707" s="60"/>
      <c r="J707" s="61"/>
      <c r="K707" s="62"/>
      <c r="L707" s="62"/>
      <c r="M707" s="62"/>
    </row>
    <row r="708">
      <c r="G708" s="60"/>
      <c r="J708" s="61"/>
      <c r="K708" s="62"/>
      <c r="L708" s="62"/>
      <c r="M708" s="62"/>
    </row>
    <row r="709">
      <c r="G709" s="60"/>
      <c r="J709" s="61"/>
      <c r="K709" s="62"/>
      <c r="L709" s="62"/>
      <c r="M709" s="62"/>
    </row>
    <row r="710">
      <c r="G710" s="60"/>
      <c r="J710" s="61"/>
      <c r="K710" s="62"/>
      <c r="L710" s="62"/>
      <c r="M710" s="62"/>
    </row>
    <row r="711">
      <c r="G711" s="60"/>
      <c r="J711" s="61"/>
      <c r="K711" s="62"/>
      <c r="L711" s="62"/>
      <c r="M711" s="62"/>
    </row>
    <row r="712">
      <c r="G712" s="60"/>
      <c r="J712" s="61"/>
      <c r="K712" s="62"/>
      <c r="L712" s="62"/>
      <c r="M712" s="62"/>
    </row>
    <row r="713">
      <c r="G713" s="60"/>
      <c r="J713" s="61"/>
      <c r="K713" s="62"/>
      <c r="L713" s="62"/>
      <c r="M713" s="62"/>
    </row>
    <row r="714">
      <c r="G714" s="60"/>
      <c r="J714" s="61"/>
      <c r="K714" s="62"/>
      <c r="L714" s="62"/>
      <c r="M714" s="62"/>
    </row>
    <row r="715">
      <c r="G715" s="60"/>
      <c r="J715" s="61"/>
      <c r="K715" s="62"/>
      <c r="L715" s="62"/>
      <c r="M715" s="62"/>
    </row>
    <row r="716">
      <c r="G716" s="60"/>
      <c r="J716" s="61"/>
      <c r="K716" s="62"/>
      <c r="L716" s="62"/>
      <c r="M716" s="62"/>
    </row>
    <row r="717">
      <c r="G717" s="60"/>
      <c r="J717" s="61"/>
      <c r="K717" s="62"/>
      <c r="L717" s="62"/>
      <c r="M717" s="62"/>
    </row>
    <row r="718">
      <c r="G718" s="60"/>
      <c r="J718" s="61"/>
      <c r="K718" s="62"/>
      <c r="L718" s="62"/>
      <c r="M718" s="62"/>
    </row>
    <row r="719">
      <c r="G719" s="60"/>
      <c r="J719" s="61"/>
      <c r="K719" s="62"/>
      <c r="L719" s="62"/>
      <c r="M719" s="62"/>
    </row>
    <row r="720">
      <c r="G720" s="60"/>
      <c r="J720" s="61"/>
      <c r="K720" s="62"/>
      <c r="L720" s="62"/>
      <c r="M720" s="62"/>
    </row>
    <row r="721">
      <c r="G721" s="60"/>
      <c r="J721" s="61"/>
      <c r="K721" s="62"/>
      <c r="L721" s="62"/>
      <c r="M721" s="62"/>
    </row>
    <row r="722">
      <c r="G722" s="60"/>
      <c r="J722" s="61"/>
      <c r="K722" s="62"/>
      <c r="L722" s="62"/>
      <c r="M722" s="62"/>
    </row>
    <row r="723">
      <c r="G723" s="60"/>
      <c r="J723" s="61"/>
      <c r="K723" s="62"/>
      <c r="L723" s="62"/>
      <c r="M723" s="62"/>
    </row>
    <row r="724">
      <c r="G724" s="60"/>
      <c r="J724" s="61"/>
      <c r="K724" s="62"/>
      <c r="L724" s="62"/>
      <c r="M724" s="62"/>
    </row>
    <row r="725">
      <c r="G725" s="60"/>
      <c r="J725" s="61"/>
      <c r="K725" s="62"/>
      <c r="L725" s="62"/>
      <c r="M725" s="62"/>
    </row>
    <row r="726">
      <c r="G726" s="60"/>
      <c r="J726" s="61"/>
      <c r="K726" s="62"/>
      <c r="L726" s="62"/>
      <c r="M726" s="62"/>
    </row>
    <row r="727">
      <c r="G727" s="60"/>
      <c r="J727" s="61"/>
      <c r="K727" s="62"/>
      <c r="L727" s="62"/>
      <c r="M727" s="62"/>
    </row>
    <row r="728">
      <c r="G728" s="60"/>
      <c r="J728" s="61"/>
      <c r="K728" s="62"/>
      <c r="L728" s="62"/>
      <c r="M728" s="62"/>
    </row>
    <row r="729">
      <c r="G729" s="60"/>
      <c r="J729" s="61"/>
      <c r="K729" s="62"/>
      <c r="L729" s="62"/>
      <c r="M729" s="62"/>
    </row>
    <row r="730">
      <c r="G730" s="60"/>
      <c r="J730" s="61"/>
      <c r="K730" s="62"/>
      <c r="L730" s="62"/>
      <c r="M730" s="62"/>
    </row>
    <row r="731">
      <c r="G731" s="60"/>
      <c r="J731" s="61"/>
      <c r="K731" s="62"/>
      <c r="L731" s="62"/>
      <c r="M731" s="62"/>
    </row>
    <row r="732">
      <c r="G732" s="60"/>
      <c r="J732" s="61"/>
      <c r="K732" s="62"/>
      <c r="L732" s="62"/>
      <c r="M732" s="62"/>
    </row>
    <row r="733">
      <c r="G733" s="60"/>
      <c r="J733" s="61"/>
      <c r="K733" s="62"/>
      <c r="L733" s="62"/>
      <c r="M733" s="62"/>
    </row>
    <row r="734">
      <c r="G734" s="60"/>
      <c r="J734" s="61"/>
      <c r="K734" s="62"/>
      <c r="L734" s="62"/>
      <c r="M734" s="62"/>
    </row>
    <row r="735">
      <c r="G735" s="60"/>
      <c r="J735" s="61"/>
      <c r="K735" s="62"/>
      <c r="L735" s="62"/>
      <c r="M735" s="62"/>
    </row>
    <row r="736">
      <c r="G736" s="60"/>
      <c r="J736" s="61"/>
      <c r="K736" s="62"/>
      <c r="L736" s="62"/>
      <c r="M736" s="62"/>
    </row>
    <row r="737">
      <c r="G737" s="60"/>
      <c r="J737" s="61"/>
      <c r="K737" s="62"/>
      <c r="L737" s="62"/>
      <c r="M737" s="62"/>
    </row>
    <row r="738">
      <c r="G738" s="60"/>
      <c r="J738" s="61"/>
      <c r="K738" s="62"/>
      <c r="L738" s="62"/>
      <c r="M738" s="62"/>
    </row>
    <row r="739">
      <c r="G739" s="60"/>
      <c r="J739" s="61"/>
      <c r="K739" s="62"/>
      <c r="L739" s="62"/>
      <c r="M739" s="62"/>
    </row>
    <row r="740">
      <c r="G740" s="60"/>
      <c r="J740" s="61"/>
      <c r="K740" s="62"/>
      <c r="L740" s="62"/>
      <c r="M740" s="62"/>
    </row>
    <row r="741">
      <c r="G741" s="60"/>
      <c r="J741" s="61"/>
      <c r="K741" s="62"/>
      <c r="L741" s="62"/>
      <c r="M741" s="62"/>
    </row>
    <row r="742">
      <c r="G742" s="60"/>
      <c r="J742" s="61"/>
      <c r="K742" s="62"/>
      <c r="L742" s="62"/>
      <c r="M742" s="62"/>
    </row>
    <row r="743">
      <c r="G743" s="60"/>
      <c r="J743" s="61"/>
      <c r="K743" s="62"/>
      <c r="L743" s="62"/>
      <c r="M743" s="62"/>
    </row>
    <row r="744">
      <c r="G744" s="60"/>
      <c r="J744" s="61"/>
      <c r="K744" s="62"/>
      <c r="L744" s="62"/>
      <c r="M744" s="62"/>
    </row>
    <row r="745">
      <c r="G745" s="60"/>
      <c r="J745" s="61"/>
      <c r="K745" s="62"/>
      <c r="L745" s="62"/>
      <c r="M745" s="62"/>
    </row>
    <row r="746">
      <c r="G746" s="60"/>
      <c r="J746" s="61"/>
      <c r="K746" s="62"/>
      <c r="L746" s="62"/>
      <c r="M746" s="62"/>
    </row>
    <row r="747">
      <c r="G747" s="60"/>
      <c r="J747" s="61"/>
      <c r="K747" s="62"/>
      <c r="L747" s="62"/>
      <c r="M747" s="62"/>
    </row>
    <row r="748">
      <c r="G748" s="60"/>
      <c r="J748" s="61"/>
      <c r="K748" s="62"/>
      <c r="L748" s="62"/>
      <c r="M748" s="62"/>
    </row>
    <row r="749">
      <c r="G749" s="60"/>
      <c r="J749" s="61"/>
      <c r="K749" s="62"/>
      <c r="L749" s="62"/>
      <c r="M749" s="62"/>
    </row>
    <row r="750">
      <c r="G750" s="60"/>
      <c r="J750" s="61"/>
      <c r="K750" s="62"/>
      <c r="L750" s="62"/>
      <c r="M750" s="62"/>
    </row>
    <row r="751">
      <c r="G751" s="60"/>
      <c r="J751" s="61"/>
      <c r="K751" s="62"/>
      <c r="L751" s="62"/>
      <c r="M751" s="62"/>
    </row>
    <row r="752">
      <c r="G752" s="60"/>
      <c r="J752" s="61"/>
      <c r="K752" s="62"/>
      <c r="L752" s="62"/>
      <c r="M752" s="62"/>
    </row>
    <row r="753">
      <c r="G753" s="60"/>
      <c r="J753" s="61"/>
      <c r="K753" s="62"/>
      <c r="L753" s="62"/>
      <c r="M753" s="62"/>
    </row>
    <row r="754">
      <c r="G754" s="60"/>
      <c r="J754" s="61"/>
      <c r="K754" s="62"/>
      <c r="L754" s="62"/>
      <c r="M754" s="62"/>
    </row>
    <row r="755">
      <c r="G755" s="60"/>
      <c r="J755" s="61"/>
      <c r="K755" s="62"/>
      <c r="L755" s="62"/>
      <c r="M755" s="62"/>
    </row>
    <row r="756">
      <c r="G756" s="60"/>
      <c r="J756" s="61"/>
      <c r="K756" s="62"/>
      <c r="L756" s="62"/>
      <c r="M756" s="62"/>
    </row>
    <row r="757">
      <c r="G757" s="60"/>
      <c r="J757" s="61"/>
      <c r="K757" s="62"/>
      <c r="L757" s="62"/>
      <c r="M757" s="62"/>
    </row>
    <row r="758">
      <c r="G758" s="60"/>
      <c r="J758" s="61"/>
      <c r="K758" s="62"/>
      <c r="L758" s="62"/>
      <c r="M758" s="62"/>
    </row>
    <row r="759">
      <c r="G759" s="60"/>
      <c r="J759" s="61"/>
      <c r="K759" s="62"/>
      <c r="L759" s="62"/>
      <c r="M759" s="62"/>
    </row>
    <row r="760">
      <c r="G760" s="60"/>
      <c r="J760" s="61"/>
      <c r="K760" s="62"/>
      <c r="L760" s="62"/>
      <c r="M760" s="62"/>
    </row>
    <row r="761">
      <c r="G761" s="60"/>
      <c r="J761" s="61"/>
      <c r="K761" s="62"/>
      <c r="L761" s="62"/>
      <c r="M761" s="62"/>
    </row>
    <row r="762">
      <c r="G762" s="60"/>
      <c r="J762" s="61"/>
      <c r="K762" s="62"/>
      <c r="L762" s="62"/>
      <c r="M762" s="62"/>
    </row>
    <row r="763">
      <c r="G763" s="60"/>
      <c r="J763" s="61"/>
      <c r="K763" s="62"/>
      <c r="L763" s="62"/>
      <c r="M763" s="62"/>
    </row>
    <row r="764">
      <c r="G764" s="60"/>
      <c r="J764" s="61"/>
      <c r="K764" s="62"/>
      <c r="L764" s="62"/>
      <c r="M764" s="62"/>
    </row>
    <row r="765">
      <c r="G765" s="60"/>
      <c r="J765" s="61"/>
      <c r="K765" s="62"/>
      <c r="L765" s="62"/>
      <c r="M765" s="62"/>
    </row>
    <row r="766">
      <c r="G766" s="60"/>
      <c r="J766" s="61"/>
      <c r="K766" s="62"/>
      <c r="L766" s="62"/>
      <c r="M766" s="62"/>
    </row>
    <row r="767">
      <c r="G767" s="60"/>
      <c r="J767" s="61"/>
      <c r="K767" s="62"/>
      <c r="L767" s="62"/>
      <c r="M767" s="62"/>
    </row>
    <row r="768">
      <c r="G768" s="60"/>
      <c r="J768" s="61"/>
      <c r="K768" s="62"/>
      <c r="L768" s="62"/>
      <c r="M768" s="62"/>
    </row>
    <row r="769">
      <c r="G769" s="60"/>
      <c r="J769" s="61"/>
      <c r="K769" s="62"/>
      <c r="L769" s="62"/>
      <c r="M769" s="62"/>
    </row>
    <row r="770">
      <c r="G770" s="60"/>
      <c r="J770" s="61"/>
      <c r="K770" s="62"/>
      <c r="L770" s="62"/>
      <c r="M770" s="62"/>
    </row>
    <row r="771">
      <c r="G771" s="60"/>
      <c r="J771" s="61"/>
      <c r="K771" s="62"/>
      <c r="L771" s="62"/>
      <c r="M771" s="62"/>
    </row>
    <row r="772">
      <c r="G772" s="60"/>
      <c r="J772" s="61"/>
      <c r="K772" s="62"/>
      <c r="L772" s="62"/>
      <c r="M772" s="62"/>
    </row>
    <row r="773">
      <c r="G773" s="60"/>
      <c r="J773" s="61"/>
      <c r="K773" s="62"/>
      <c r="L773" s="62"/>
      <c r="M773" s="62"/>
    </row>
    <row r="774">
      <c r="G774" s="60"/>
      <c r="J774" s="61"/>
      <c r="K774" s="62"/>
      <c r="L774" s="62"/>
      <c r="M774" s="62"/>
    </row>
    <row r="775">
      <c r="G775" s="60"/>
      <c r="J775" s="61"/>
      <c r="K775" s="62"/>
      <c r="L775" s="62"/>
      <c r="M775" s="62"/>
    </row>
    <row r="776">
      <c r="G776" s="60"/>
      <c r="J776" s="61"/>
      <c r="K776" s="62"/>
      <c r="L776" s="62"/>
      <c r="M776" s="62"/>
    </row>
    <row r="777">
      <c r="G777" s="60"/>
      <c r="J777" s="61"/>
      <c r="K777" s="62"/>
      <c r="L777" s="62"/>
      <c r="M777" s="62"/>
    </row>
    <row r="778">
      <c r="G778" s="60"/>
      <c r="J778" s="61"/>
      <c r="K778" s="62"/>
      <c r="L778" s="62"/>
      <c r="M778" s="62"/>
    </row>
    <row r="779">
      <c r="G779" s="60"/>
      <c r="J779" s="61"/>
      <c r="K779" s="62"/>
      <c r="L779" s="62"/>
      <c r="M779" s="62"/>
    </row>
    <row r="780">
      <c r="G780" s="60"/>
      <c r="J780" s="61"/>
      <c r="K780" s="62"/>
      <c r="L780" s="62"/>
      <c r="M780" s="62"/>
    </row>
    <row r="781">
      <c r="G781" s="60"/>
      <c r="J781" s="61"/>
      <c r="K781" s="62"/>
      <c r="L781" s="62"/>
      <c r="M781" s="62"/>
    </row>
    <row r="782">
      <c r="G782" s="60"/>
      <c r="J782" s="61"/>
      <c r="K782" s="62"/>
      <c r="L782" s="62"/>
      <c r="M782" s="62"/>
    </row>
    <row r="783">
      <c r="G783" s="60"/>
      <c r="J783" s="61"/>
      <c r="K783" s="62"/>
      <c r="L783" s="62"/>
      <c r="M783" s="62"/>
    </row>
    <row r="784">
      <c r="G784" s="60"/>
      <c r="J784" s="61"/>
      <c r="K784" s="62"/>
      <c r="L784" s="62"/>
      <c r="M784" s="62"/>
    </row>
    <row r="785">
      <c r="G785" s="60"/>
      <c r="J785" s="61"/>
      <c r="K785" s="62"/>
      <c r="L785" s="62"/>
      <c r="M785" s="62"/>
    </row>
    <row r="786">
      <c r="G786" s="60"/>
      <c r="J786" s="61"/>
      <c r="K786" s="62"/>
      <c r="L786" s="62"/>
      <c r="M786" s="62"/>
    </row>
    <row r="787">
      <c r="G787" s="60"/>
      <c r="J787" s="61"/>
      <c r="K787" s="62"/>
      <c r="L787" s="62"/>
      <c r="M787" s="62"/>
    </row>
    <row r="788">
      <c r="G788" s="60"/>
      <c r="J788" s="61"/>
      <c r="K788" s="62"/>
      <c r="L788" s="62"/>
      <c r="M788" s="62"/>
    </row>
    <row r="789">
      <c r="G789" s="60"/>
      <c r="J789" s="61"/>
      <c r="K789" s="62"/>
      <c r="L789" s="62"/>
      <c r="M789" s="62"/>
    </row>
    <row r="790">
      <c r="G790" s="60"/>
      <c r="J790" s="61"/>
      <c r="K790" s="62"/>
      <c r="L790" s="62"/>
      <c r="M790" s="62"/>
    </row>
    <row r="791">
      <c r="G791" s="60"/>
      <c r="J791" s="61"/>
      <c r="K791" s="62"/>
      <c r="L791" s="62"/>
      <c r="M791" s="62"/>
    </row>
    <row r="792">
      <c r="G792" s="60"/>
      <c r="J792" s="61"/>
      <c r="K792" s="62"/>
      <c r="L792" s="62"/>
      <c r="M792" s="62"/>
    </row>
    <row r="793">
      <c r="G793" s="60"/>
      <c r="J793" s="61"/>
      <c r="K793" s="62"/>
      <c r="L793" s="62"/>
      <c r="M793" s="62"/>
    </row>
    <row r="794">
      <c r="G794" s="60"/>
      <c r="J794" s="61"/>
      <c r="K794" s="62"/>
      <c r="L794" s="62"/>
      <c r="M794" s="62"/>
    </row>
    <row r="795">
      <c r="G795" s="60"/>
      <c r="J795" s="61"/>
      <c r="K795" s="62"/>
      <c r="L795" s="62"/>
      <c r="M795" s="62"/>
    </row>
    <row r="796">
      <c r="G796" s="60"/>
      <c r="J796" s="61"/>
      <c r="K796" s="62"/>
      <c r="L796" s="62"/>
      <c r="M796" s="62"/>
    </row>
    <row r="797">
      <c r="G797" s="60"/>
      <c r="J797" s="61"/>
      <c r="K797" s="62"/>
      <c r="L797" s="62"/>
      <c r="M797" s="62"/>
    </row>
    <row r="798">
      <c r="G798" s="60"/>
      <c r="J798" s="61"/>
      <c r="K798" s="62"/>
      <c r="L798" s="62"/>
      <c r="M798" s="62"/>
    </row>
    <row r="799">
      <c r="G799" s="60"/>
      <c r="J799" s="61"/>
      <c r="K799" s="62"/>
      <c r="L799" s="62"/>
      <c r="M799" s="62"/>
    </row>
    <row r="800">
      <c r="G800" s="60"/>
      <c r="J800" s="61"/>
      <c r="K800" s="62"/>
      <c r="L800" s="62"/>
      <c r="M800" s="62"/>
    </row>
    <row r="801">
      <c r="G801" s="60"/>
      <c r="J801" s="61"/>
      <c r="K801" s="62"/>
      <c r="L801" s="62"/>
      <c r="M801" s="62"/>
    </row>
    <row r="802">
      <c r="G802" s="60"/>
      <c r="J802" s="61"/>
      <c r="K802" s="62"/>
      <c r="L802" s="62"/>
      <c r="M802" s="62"/>
    </row>
    <row r="803">
      <c r="G803" s="60"/>
      <c r="J803" s="61"/>
      <c r="K803" s="62"/>
      <c r="L803" s="62"/>
      <c r="M803" s="62"/>
    </row>
    <row r="804">
      <c r="G804" s="60"/>
      <c r="J804" s="61"/>
      <c r="K804" s="62"/>
      <c r="L804" s="62"/>
      <c r="M804" s="62"/>
    </row>
    <row r="805">
      <c r="G805" s="60"/>
      <c r="J805" s="61"/>
      <c r="K805" s="62"/>
      <c r="L805" s="62"/>
      <c r="M805" s="62"/>
    </row>
    <row r="806">
      <c r="G806" s="60"/>
      <c r="J806" s="61"/>
      <c r="K806" s="62"/>
      <c r="L806" s="62"/>
      <c r="M806" s="62"/>
    </row>
    <row r="807">
      <c r="G807" s="60"/>
      <c r="J807" s="61"/>
      <c r="K807" s="62"/>
      <c r="L807" s="62"/>
      <c r="M807" s="62"/>
    </row>
    <row r="808">
      <c r="G808" s="60"/>
      <c r="J808" s="61"/>
      <c r="K808" s="62"/>
      <c r="L808" s="62"/>
      <c r="M808" s="62"/>
    </row>
    <row r="809">
      <c r="G809" s="60"/>
      <c r="J809" s="61"/>
      <c r="K809" s="62"/>
      <c r="L809" s="62"/>
      <c r="M809" s="62"/>
    </row>
    <row r="810">
      <c r="G810" s="60"/>
      <c r="J810" s="61"/>
      <c r="K810" s="62"/>
      <c r="L810" s="62"/>
      <c r="M810" s="62"/>
    </row>
    <row r="811">
      <c r="G811" s="60"/>
      <c r="J811" s="61"/>
      <c r="K811" s="62"/>
      <c r="L811" s="62"/>
      <c r="M811" s="62"/>
    </row>
    <row r="812">
      <c r="G812" s="60"/>
      <c r="J812" s="61"/>
      <c r="K812" s="62"/>
      <c r="L812" s="62"/>
      <c r="M812" s="62"/>
    </row>
    <row r="813">
      <c r="G813" s="60"/>
      <c r="J813" s="61"/>
      <c r="K813" s="62"/>
      <c r="L813" s="62"/>
      <c r="M813" s="62"/>
    </row>
    <row r="814">
      <c r="G814" s="60"/>
      <c r="J814" s="61"/>
      <c r="K814" s="62"/>
      <c r="L814" s="62"/>
      <c r="M814" s="62"/>
    </row>
    <row r="815">
      <c r="G815" s="60"/>
      <c r="J815" s="61"/>
      <c r="K815" s="62"/>
      <c r="L815" s="62"/>
      <c r="M815" s="62"/>
    </row>
    <row r="816">
      <c r="G816" s="60"/>
      <c r="J816" s="61"/>
      <c r="K816" s="62"/>
      <c r="L816" s="62"/>
      <c r="M816" s="62"/>
    </row>
    <row r="817">
      <c r="G817" s="60"/>
      <c r="J817" s="61"/>
      <c r="K817" s="62"/>
      <c r="L817" s="62"/>
      <c r="M817" s="62"/>
    </row>
    <row r="818">
      <c r="G818" s="60"/>
      <c r="J818" s="61"/>
      <c r="K818" s="62"/>
      <c r="L818" s="62"/>
      <c r="M818" s="62"/>
    </row>
    <row r="819">
      <c r="G819" s="60"/>
      <c r="J819" s="61"/>
      <c r="K819" s="62"/>
      <c r="L819" s="62"/>
      <c r="M819" s="62"/>
    </row>
    <row r="820">
      <c r="G820" s="60"/>
      <c r="J820" s="61"/>
      <c r="K820" s="62"/>
      <c r="L820" s="62"/>
      <c r="M820" s="62"/>
    </row>
    <row r="821">
      <c r="G821" s="60"/>
      <c r="J821" s="61"/>
      <c r="K821" s="62"/>
      <c r="L821" s="62"/>
      <c r="M821" s="62"/>
    </row>
    <row r="822">
      <c r="G822" s="60"/>
      <c r="J822" s="61"/>
      <c r="K822" s="62"/>
      <c r="L822" s="62"/>
      <c r="M822" s="62"/>
    </row>
    <row r="823">
      <c r="G823" s="60"/>
      <c r="J823" s="61"/>
      <c r="K823" s="62"/>
      <c r="L823" s="62"/>
      <c r="M823" s="62"/>
    </row>
    <row r="824">
      <c r="G824" s="60"/>
      <c r="J824" s="61"/>
      <c r="K824" s="62"/>
      <c r="L824" s="62"/>
      <c r="M824" s="62"/>
    </row>
    <row r="825">
      <c r="G825" s="60"/>
      <c r="J825" s="61"/>
      <c r="K825" s="62"/>
      <c r="L825" s="62"/>
      <c r="M825" s="62"/>
    </row>
    <row r="826">
      <c r="G826" s="60"/>
      <c r="J826" s="61"/>
      <c r="K826" s="62"/>
      <c r="L826" s="62"/>
      <c r="M826" s="62"/>
    </row>
    <row r="827">
      <c r="G827" s="60"/>
      <c r="J827" s="61"/>
      <c r="K827" s="62"/>
      <c r="L827" s="62"/>
      <c r="M827" s="62"/>
    </row>
    <row r="828">
      <c r="G828" s="60"/>
      <c r="J828" s="61"/>
      <c r="K828" s="62"/>
      <c r="L828" s="62"/>
      <c r="M828" s="62"/>
    </row>
    <row r="829">
      <c r="G829" s="60"/>
      <c r="J829" s="61"/>
      <c r="K829" s="62"/>
      <c r="L829" s="62"/>
      <c r="M829" s="62"/>
    </row>
    <row r="830">
      <c r="G830" s="60"/>
      <c r="J830" s="61"/>
      <c r="K830" s="62"/>
      <c r="L830" s="62"/>
      <c r="M830" s="62"/>
    </row>
    <row r="831">
      <c r="G831" s="60"/>
      <c r="J831" s="61"/>
      <c r="K831" s="62"/>
      <c r="L831" s="62"/>
      <c r="M831" s="62"/>
    </row>
    <row r="832">
      <c r="G832" s="60"/>
      <c r="J832" s="61"/>
      <c r="K832" s="62"/>
      <c r="L832" s="62"/>
      <c r="M832" s="62"/>
    </row>
    <row r="833">
      <c r="G833" s="60"/>
      <c r="J833" s="61"/>
      <c r="K833" s="62"/>
      <c r="L833" s="62"/>
      <c r="M833" s="62"/>
    </row>
    <row r="834">
      <c r="G834" s="60"/>
      <c r="J834" s="61"/>
      <c r="K834" s="62"/>
      <c r="L834" s="62"/>
      <c r="M834" s="62"/>
    </row>
    <row r="835">
      <c r="G835" s="60"/>
      <c r="J835" s="61"/>
      <c r="K835" s="62"/>
      <c r="L835" s="62"/>
      <c r="M835" s="62"/>
    </row>
    <row r="836">
      <c r="G836" s="60"/>
      <c r="J836" s="61"/>
      <c r="K836" s="62"/>
      <c r="L836" s="62"/>
      <c r="M836" s="62"/>
    </row>
    <row r="837">
      <c r="G837" s="60"/>
      <c r="J837" s="61"/>
      <c r="K837" s="62"/>
      <c r="L837" s="62"/>
      <c r="M837" s="62"/>
    </row>
    <row r="838">
      <c r="G838" s="60"/>
      <c r="J838" s="61"/>
      <c r="K838" s="62"/>
      <c r="L838" s="62"/>
      <c r="M838" s="62"/>
    </row>
    <row r="839">
      <c r="G839" s="60"/>
      <c r="J839" s="61"/>
      <c r="K839" s="62"/>
      <c r="L839" s="62"/>
      <c r="M839" s="62"/>
    </row>
    <row r="840">
      <c r="G840" s="60"/>
      <c r="J840" s="61"/>
      <c r="K840" s="62"/>
      <c r="L840" s="62"/>
      <c r="M840" s="62"/>
    </row>
    <row r="841">
      <c r="G841" s="60"/>
      <c r="J841" s="61"/>
      <c r="K841" s="62"/>
      <c r="L841" s="62"/>
      <c r="M841" s="62"/>
    </row>
    <row r="842">
      <c r="G842" s="60"/>
      <c r="J842" s="61"/>
      <c r="K842" s="62"/>
      <c r="L842" s="62"/>
      <c r="M842" s="62"/>
    </row>
    <row r="843">
      <c r="G843" s="60"/>
      <c r="J843" s="61"/>
      <c r="K843" s="62"/>
      <c r="L843" s="62"/>
      <c r="M843" s="62"/>
    </row>
    <row r="844">
      <c r="G844" s="60"/>
      <c r="J844" s="61"/>
      <c r="K844" s="62"/>
      <c r="L844" s="62"/>
      <c r="M844" s="62"/>
    </row>
    <row r="845">
      <c r="G845" s="60"/>
      <c r="J845" s="61"/>
      <c r="K845" s="62"/>
      <c r="L845" s="62"/>
      <c r="M845" s="62"/>
    </row>
    <row r="846">
      <c r="G846" s="60"/>
      <c r="J846" s="61"/>
      <c r="K846" s="62"/>
      <c r="L846" s="62"/>
      <c r="M846" s="62"/>
    </row>
    <row r="847">
      <c r="G847" s="60"/>
      <c r="J847" s="61"/>
      <c r="K847" s="62"/>
      <c r="L847" s="62"/>
      <c r="M847" s="62"/>
    </row>
    <row r="848">
      <c r="G848" s="60"/>
      <c r="J848" s="61"/>
      <c r="K848" s="62"/>
      <c r="L848" s="62"/>
      <c r="M848" s="62"/>
    </row>
    <row r="849">
      <c r="G849" s="60"/>
      <c r="J849" s="61"/>
      <c r="K849" s="62"/>
      <c r="L849" s="62"/>
      <c r="M849" s="62"/>
    </row>
    <row r="850">
      <c r="G850" s="60"/>
      <c r="J850" s="61"/>
      <c r="K850" s="62"/>
      <c r="L850" s="62"/>
      <c r="M850" s="62"/>
    </row>
    <row r="851">
      <c r="G851" s="60"/>
      <c r="J851" s="61"/>
      <c r="K851" s="62"/>
      <c r="L851" s="62"/>
      <c r="M851" s="62"/>
    </row>
    <row r="852">
      <c r="G852" s="60"/>
      <c r="J852" s="61"/>
      <c r="K852" s="62"/>
      <c r="L852" s="62"/>
      <c r="M852" s="62"/>
    </row>
    <row r="853">
      <c r="G853" s="60"/>
      <c r="J853" s="61"/>
      <c r="K853" s="62"/>
      <c r="L853" s="62"/>
      <c r="M853" s="62"/>
    </row>
    <row r="854">
      <c r="G854" s="60"/>
      <c r="J854" s="61"/>
      <c r="K854" s="62"/>
      <c r="L854" s="62"/>
      <c r="M854" s="62"/>
    </row>
    <row r="855">
      <c r="G855" s="60"/>
      <c r="J855" s="61"/>
      <c r="K855" s="62"/>
      <c r="L855" s="62"/>
      <c r="M855" s="62"/>
    </row>
    <row r="856">
      <c r="G856" s="60"/>
      <c r="J856" s="61"/>
      <c r="K856" s="62"/>
      <c r="L856" s="62"/>
      <c r="M856" s="62"/>
    </row>
    <row r="857">
      <c r="G857" s="60"/>
      <c r="J857" s="61"/>
      <c r="K857" s="62"/>
      <c r="L857" s="62"/>
      <c r="M857" s="62"/>
    </row>
    <row r="858">
      <c r="G858" s="60"/>
      <c r="J858" s="61"/>
      <c r="K858" s="62"/>
      <c r="L858" s="62"/>
      <c r="M858" s="62"/>
    </row>
    <row r="859">
      <c r="G859" s="60"/>
      <c r="J859" s="61"/>
      <c r="K859" s="62"/>
      <c r="L859" s="62"/>
      <c r="M859" s="62"/>
    </row>
    <row r="860">
      <c r="G860" s="60"/>
      <c r="J860" s="61"/>
      <c r="K860" s="62"/>
      <c r="L860" s="62"/>
      <c r="M860" s="62"/>
    </row>
    <row r="861">
      <c r="G861" s="60"/>
      <c r="J861" s="61"/>
      <c r="K861" s="62"/>
      <c r="L861" s="62"/>
      <c r="M861" s="62"/>
    </row>
    <row r="862">
      <c r="G862" s="60"/>
      <c r="J862" s="61"/>
      <c r="K862" s="62"/>
      <c r="L862" s="62"/>
      <c r="M862" s="62"/>
    </row>
    <row r="863">
      <c r="G863" s="60"/>
      <c r="J863" s="61"/>
      <c r="K863" s="62"/>
      <c r="L863" s="62"/>
      <c r="M863" s="62"/>
    </row>
    <row r="864">
      <c r="G864" s="60"/>
      <c r="J864" s="61"/>
      <c r="K864" s="62"/>
      <c r="L864" s="62"/>
      <c r="M864" s="62"/>
    </row>
    <row r="865">
      <c r="G865" s="60"/>
      <c r="J865" s="61"/>
      <c r="K865" s="62"/>
      <c r="L865" s="62"/>
      <c r="M865" s="62"/>
    </row>
    <row r="866">
      <c r="G866" s="60"/>
      <c r="J866" s="61"/>
      <c r="K866" s="62"/>
      <c r="L866" s="62"/>
      <c r="M866" s="62"/>
    </row>
    <row r="867">
      <c r="G867" s="60"/>
      <c r="J867" s="61"/>
      <c r="K867" s="62"/>
      <c r="L867" s="62"/>
      <c r="M867" s="62"/>
    </row>
    <row r="868">
      <c r="G868" s="60"/>
      <c r="J868" s="61"/>
      <c r="K868" s="62"/>
      <c r="L868" s="62"/>
      <c r="M868" s="62"/>
    </row>
    <row r="869">
      <c r="G869" s="60"/>
      <c r="J869" s="61"/>
      <c r="K869" s="62"/>
      <c r="L869" s="62"/>
      <c r="M869" s="62"/>
    </row>
    <row r="870">
      <c r="G870" s="60"/>
      <c r="J870" s="61"/>
      <c r="K870" s="62"/>
      <c r="L870" s="62"/>
      <c r="M870" s="62"/>
    </row>
    <row r="871">
      <c r="G871" s="60"/>
      <c r="J871" s="61"/>
      <c r="K871" s="62"/>
      <c r="L871" s="62"/>
      <c r="M871" s="62"/>
    </row>
    <row r="872">
      <c r="G872" s="60"/>
      <c r="J872" s="61"/>
      <c r="K872" s="62"/>
      <c r="L872" s="62"/>
      <c r="M872" s="62"/>
    </row>
    <row r="873">
      <c r="G873" s="60"/>
      <c r="J873" s="61"/>
      <c r="K873" s="62"/>
      <c r="L873" s="62"/>
      <c r="M873" s="62"/>
    </row>
    <row r="874">
      <c r="G874" s="60"/>
      <c r="J874" s="61"/>
      <c r="K874" s="62"/>
      <c r="L874" s="62"/>
      <c r="M874" s="62"/>
    </row>
    <row r="875">
      <c r="G875" s="60"/>
      <c r="J875" s="61"/>
      <c r="K875" s="62"/>
      <c r="L875" s="62"/>
      <c r="M875" s="62"/>
    </row>
    <row r="876">
      <c r="G876" s="60"/>
      <c r="J876" s="61"/>
      <c r="K876" s="62"/>
      <c r="L876" s="62"/>
      <c r="M876" s="62"/>
    </row>
    <row r="877">
      <c r="G877" s="60"/>
      <c r="J877" s="61"/>
      <c r="K877" s="62"/>
      <c r="L877" s="62"/>
      <c r="M877" s="62"/>
    </row>
    <row r="878">
      <c r="G878" s="60"/>
      <c r="J878" s="61"/>
      <c r="K878" s="62"/>
      <c r="L878" s="62"/>
      <c r="M878" s="62"/>
    </row>
    <row r="879">
      <c r="G879" s="60"/>
      <c r="J879" s="61"/>
      <c r="K879" s="62"/>
      <c r="L879" s="62"/>
      <c r="M879" s="62"/>
    </row>
    <row r="880">
      <c r="G880" s="60"/>
      <c r="J880" s="61"/>
      <c r="K880" s="62"/>
      <c r="L880" s="62"/>
      <c r="M880" s="62"/>
    </row>
    <row r="881">
      <c r="G881" s="60"/>
      <c r="J881" s="61"/>
      <c r="K881" s="62"/>
      <c r="L881" s="62"/>
      <c r="M881" s="62"/>
    </row>
    <row r="882">
      <c r="G882" s="60"/>
      <c r="J882" s="61"/>
      <c r="K882" s="62"/>
      <c r="L882" s="62"/>
      <c r="M882" s="62"/>
    </row>
    <row r="883">
      <c r="G883" s="60"/>
      <c r="J883" s="61"/>
      <c r="K883" s="62"/>
      <c r="L883" s="62"/>
      <c r="M883" s="62"/>
    </row>
    <row r="884">
      <c r="G884" s="60"/>
      <c r="J884" s="61"/>
      <c r="K884" s="62"/>
      <c r="L884" s="62"/>
      <c r="M884" s="62"/>
    </row>
    <row r="885">
      <c r="G885" s="60"/>
      <c r="J885" s="61"/>
      <c r="K885" s="62"/>
      <c r="L885" s="62"/>
      <c r="M885" s="62"/>
    </row>
    <row r="886">
      <c r="G886" s="60"/>
      <c r="J886" s="61"/>
      <c r="K886" s="62"/>
      <c r="L886" s="62"/>
      <c r="M886" s="62"/>
    </row>
    <row r="887">
      <c r="G887" s="60"/>
      <c r="J887" s="61"/>
      <c r="K887" s="62"/>
      <c r="L887" s="62"/>
      <c r="M887" s="62"/>
    </row>
    <row r="888">
      <c r="G888" s="60"/>
      <c r="J888" s="61"/>
      <c r="K888" s="62"/>
      <c r="L888" s="62"/>
      <c r="M888" s="62"/>
    </row>
    <row r="889">
      <c r="G889" s="60"/>
      <c r="J889" s="61"/>
      <c r="K889" s="62"/>
      <c r="L889" s="62"/>
      <c r="M889" s="62"/>
    </row>
    <row r="890">
      <c r="G890" s="60"/>
      <c r="J890" s="61"/>
      <c r="K890" s="62"/>
      <c r="L890" s="62"/>
      <c r="M890" s="62"/>
    </row>
    <row r="891">
      <c r="G891" s="60"/>
      <c r="J891" s="61"/>
      <c r="K891" s="62"/>
      <c r="L891" s="62"/>
      <c r="M891" s="62"/>
    </row>
    <row r="892">
      <c r="G892" s="60"/>
      <c r="J892" s="61"/>
      <c r="K892" s="62"/>
      <c r="L892" s="62"/>
      <c r="M892" s="62"/>
    </row>
    <row r="893">
      <c r="G893" s="60"/>
      <c r="J893" s="61"/>
      <c r="K893" s="62"/>
      <c r="L893" s="62"/>
      <c r="M893" s="62"/>
    </row>
    <row r="894">
      <c r="G894" s="60"/>
      <c r="J894" s="61"/>
      <c r="K894" s="62"/>
      <c r="L894" s="62"/>
      <c r="M894" s="62"/>
    </row>
    <row r="895">
      <c r="G895" s="60"/>
      <c r="J895" s="61"/>
      <c r="K895" s="62"/>
      <c r="L895" s="62"/>
      <c r="M895" s="62"/>
    </row>
    <row r="896">
      <c r="G896" s="60"/>
      <c r="J896" s="61"/>
      <c r="K896" s="62"/>
      <c r="L896" s="62"/>
      <c r="M896" s="62"/>
    </row>
    <row r="897">
      <c r="G897" s="60"/>
      <c r="J897" s="61"/>
      <c r="K897" s="62"/>
      <c r="L897" s="62"/>
      <c r="M897" s="62"/>
    </row>
    <row r="898">
      <c r="G898" s="60"/>
      <c r="J898" s="61"/>
      <c r="K898" s="62"/>
      <c r="L898" s="62"/>
      <c r="M898" s="62"/>
    </row>
    <row r="899">
      <c r="G899" s="60"/>
      <c r="J899" s="61"/>
      <c r="K899" s="62"/>
      <c r="L899" s="62"/>
      <c r="M899" s="62"/>
    </row>
    <row r="900">
      <c r="G900" s="60"/>
      <c r="J900" s="61"/>
      <c r="K900" s="62"/>
      <c r="L900" s="62"/>
      <c r="M900" s="62"/>
    </row>
    <row r="901">
      <c r="G901" s="60"/>
      <c r="J901" s="61"/>
      <c r="K901" s="62"/>
      <c r="L901" s="62"/>
      <c r="M901" s="62"/>
    </row>
    <row r="902">
      <c r="G902" s="60"/>
      <c r="J902" s="61"/>
      <c r="K902" s="62"/>
      <c r="L902" s="62"/>
      <c r="M902" s="62"/>
    </row>
    <row r="903">
      <c r="G903" s="60"/>
      <c r="J903" s="61"/>
      <c r="K903" s="62"/>
      <c r="L903" s="62"/>
      <c r="M903" s="62"/>
    </row>
    <row r="904">
      <c r="G904" s="60"/>
      <c r="J904" s="61"/>
      <c r="K904" s="62"/>
      <c r="L904" s="62"/>
      <c r="M904" s="62"/>
    </row>
    <row r="905">
      <c r="G905" s="60"/>
      <c r="J905" s="61"/>
      <c r="K905" s="62"/>
      <c r="L905" s="62"/>
      <c r="M905" s="62"/>
    </row>
    <row r="906">
      <c r="G906" s="60"/>
      <c r="J906" s="61"/>
      <c r="K906" s="62"/>
      <c r="L906" s="62"/>
      <c r="M906" s="62"/>
    </row>
    <row r="907">
      <c r="G907" s="60"/>
      <c r="J907" s="61"/>
      <c r="K907" s="62"/>
      <c r="L907" s="62"/>
      <c r="M907" s="62"/>
    </row>
    <row r="908">
      <c r="G908" s="60"/>
      <c r="J908" s="61"/>
      <c r="K908" s="62"/>
      <c r="L908" s="62"/>
      <c r="M908" s="62"/>
    </row>
    <row r="909">
      <c r="G909" s="60"/>
      <c r="J909" s="61"/>
      <c r="K909" s="62"/>
      <c r="L909" s="62"/>
      <c r="M909" s="62"/>
    </row>
    <row r="910">
      <c r="G910" s="60"/>
      <c r="J910" s="61"/>
      <c r="K910" s="62"/>
      <c r="L910" s="62"/>
      <c r="M910" s="62"/>
    </row>
    <row r="911">
      <c r="G911" s="60"/>
      <c r="J911" s="61"/>
      <c r="K911" s="62"/>
      <c r="L911" s="62"/>
      <c r="M911" s="62"/>
    </row>
    <row r="912">
      <c r="G912" s="60"/>
      <c r="J912" s="61"/>
      <c r="K912" s="62"/>
      <c r="L912" s="62"/>
      <c r="M912" s="62"/>
    </row>
    <row r="913">
      <c r="G913" s="60"/>
      <c r="J913" s="61"/>
      <c r="K913" s="62"/>
      <c r="L913" s="62"/>
      <c r="M913" s="62"/>
    </row>
    <row r="914">
      <c r="G914" s="60"/>
      <c r="J914" s="61"/>
      <c r="K914" s="62"/>
      <c r="L914" s="62"/>
      <c r="M914" s="62"/>
    </row>
    <row r="915">
      <c r="G915" s="60"/>
      <c r="J915" s="61"/>
      <c r="K915" s="62"/>
      <c r="L915" s="62"/>
      <c r="M915" s="62"/>
    </row>
    <row r="916">
      <c r="G916" s="60"/>
      <c r="J916" s="61"/>
      <c r="K916" s="62"/>
      <c r="L916" s="62"/>
      <c r="M916" s="62"/>
    </row>
    <row r="917">
      <c r="G917" s="60"/>
      <c r="J917" s="61"/>
      <c r="K917" s="62"/>
      <c r="L917" s="62"/>
      <c r="M917" s="62"/>
    </row>
    <row r="918">
      <c r="G918" s="60"/>
      <c r="J918" s="61"/>
      <c r="K918" s="62"/>
      <c r="L918" s="62"/>
      <c r="M918" s="62"/>
    </row>
    <row r="919">
      <c r="G919" s="60"/>
      <c r="J919" s="61"/>
      <c r="K919" s="62"/>
      <c r="L919" s="62"/>
      <c r="M919" s="62"/>
    </row>
    <row r="920">
      <c r="G920" s="60"/>
      <c r="J920" s="61"/>
      <c r="K920" s="62"/>
      <c r="L920" s="62"/>
      <c r="M920" s="62"/>
    </row>
    <row r="921">
      <c r="G921" s="60"/>
      <c r="J921" s="61"/>
      <c r="K921" s="62"/>
      <c r="L921" s="62"/>
      <c r="M921" s="62"/>
    </row>
    <row r="922">
      <c r="G922" s="60"/>
      <c r="J922" s="61"/>
      <c r="K922" s="62"/>
      <c r="L922" s="62"/>
      <c r="M922" s="62"/>
    </row>
    <row r="923">
      <c r="G923" s="60"/>
      <c r="J923" s="61"/>
      <c r="K923" s="62"/>
      <c r="L923" s="62"/>
      <c r="M923" s="62"/>
    </row>
    <row r="924">
      <c r="G924" s="60"/>
      <c r="J924" s="61"/>
      <c r="K924" s="62"/>
      <c r="L924" s="62"/>
      <c r="M924" s="62"/>
    </row>
    <row r="925">
      <c r="G925" s="60"/>
      <c r="J925" s="61"/>
      <c r="K925" s="62"/>
      <c r="L925" s="62"/>
      <c r="M925" s="62"/>
    </row>
    <row r="926">
      <c r="G926" s="60"/>
      <c r="J926" s="61"/>
      <c r="K926" s="62"/>
      <c r="L926" s="62"/>
      <c r="M926" s="62"/>
    </row>
    <row r="927">
      <c r="G927" s="60"/>
      <c r="J927" s="61"/>
      <c r="K927" s="62"/>
      <c r="L927" s="62"/>
      <c r="M927" s="62"/>
    </row>
    <row r="928">
      <c r="G928" s="60"/>
      <c r="J928" s="61"/>
      <c r="K928" s="62"/>
      <c r="L928" s="62"/>
      <c r="M928" s="62"/>
    </row>
    <row r="929">
      <c r="G929" s="60"/>
      <c r="J929" s="61"/>
      <c r="K929" s="62"/>
      <c r="L929" s="62"/>
      <c r="M929" s="62"/>
    </row>
    <row r="930">
      <c r="G930" s="60"/>
      <c r="J930" s="61"/>
      <c r="K930" s="62"/>
      <c r="L930" s="62"/>
      <c r="M930" s="62"/>
    </row>
    <row r="931">
      <c r="G931" s="60"/>
      <c r="J931" s="61"/>
      <c r="K931" s="62"/>
      <c r="L931" s="62"/>
      <c r="M931" s="62"/>
    </row>
    <row r="932">
      <c r="G932" s="60"/>
      <c r="J932" s="61"/>
      <c r="K932" s="62"/>
      <c r="L932" s="62"/>
      <c r="M932" s="62"/>
    </row>
    <row r="933">
      <c r="G933" s="60"/>
      <c r="J933" s="61"/>
      <c r="K933" s="62"/>
      <c r="L933" s="62"/>
      <c r="M933" s="62"/>
    </row>
    <row r="934">
      <c r="G934" s="60"/>
      <c r="J934" s="61"/>
      <c r="K934" s="62"/>
      <c r="L934" s="62"/>
      <c r="M934" s="62"/>
    </row>
    <row r="935">
      <c r="G935" s="60"/>
      <c r="J935" s="61"/>
      <c r="K935" s="62"/>
      <c r="L935" s="62"/>
      <c r="M935" s="62"/>
    </row>
    <row r="936">
      <c r="G936" s="60"/>
      <c r="J936" s="61"/>
      <c r="K936" s="62"/>
      <c r="L936" s="62"/>
      <c r="M936" s="62"/>
    </row>
    <row r="937">
      <c r="G937" s="60"/>
      <c r="J937" s="61"/>
      <c r="K937" s="62"/>
      <c r="L937" s="62"/>
      <c r="M937" s="62"/>
    </row>
    <row r="938">
      <c r="G938" s="60"/>
      <c r="J938" s="61"/>
      <c r="K938" s="62"/>
      <c r="L938" s="62"/>
      <c r="M938" s="62"/>
    </row>
    <row r="939">
      <c r="G939" s="60"/>
      <c r="J939" s="61"/>
      <c r="K939" s="62"/>
      <c r="L939" s="62"/>
      <c r="M939" s="62"/>
    </row>
    <row r="940">
      <c r="G940" s="60"/>
      <c r="J940" s="61"/>
      <c r="K940" s="62"/>
      <c r="L940" s="62"/>
      <c r="M940" s="62"/>
    </row>
    <row r="941">
      <c r="G941" s="60"/>
      <c r="J941" s="61"/>
      <c r="K941" s="62"/>
      <c r="L941" s="62"/>
      <c r="M941" s="62"/>
    </row>
    <row r="942">
      <c r="G942" s="60"/>
      <c r="J942" s="61"/>
      <c r="K942" s="62"/>
      <c r="L942" s="62"/>
      <c r="M942" s="62"/>
    </row>
    <row r="943">
      <c r="G943" s="60"/>
      <c r="J943" s="61"/>
      <c r="K943" s="62"/>
      <c r="L943" s="62"/>
      <c r="M943" s="62"/>
    </row>
    <row r="944">
      <c r="G944" s="60"/>
      <c r="J944" s="61"/>
      <c r="K944" s="62"/>
      <c r="L944" s="62"/>
      <c r="M944" s="62"/>
    </row>
    <row r="945">
      <c r="G945" s="60"/>
      <c r="J945" s="61"/>
      <c r="K945" s="62"/>
      <c r="L945" s="62"/>
      <c r="M945" s="62"/>
    </row>
    <row r="946">
      <c r="G946" s="60"/>
      <c r="J946" s="61"/>
      <c r="K946" s="62"/>
      <c r="L946" s="62"/>
      <c r="M946" s="62"/>
    </row>
    <row r="947">
      <c r="G947" s="60"/>
      <c r="J947" s="61"/>
      <c r="K947" s="62"/>
      <c r="L947" s="62"/>
      <c r="M947" s="62"/>
    </row>
    <row r="948">
      <c r="G948" s="60"/>
      <c r="J948" s="61"/>
      <c r="K948" s="62"/>
      <c r="L948" s="62"/>
      <c r="M948" s="62"/>
    </row>
    <row r="949">
      <c r="G949" s="60"/>
      <c r="J949" s="61"/>
      <c r="K949" s="62"/>
      <c r="L949" s="62"/>
      <c r="M949" s="62"/>
    </row>
    <row r="950">
      <c r="G950" s="60"/>
      <c r="J950" s="61"/>
      <c r="K950" s="62"/>
      <c r="L950" s="62"/>
      <c r="M950" s="62"/>
    </row>
    <row r="951">
      <c r="G951" s="60"/>
      <c r="J951" s="61"/>
      <c r="K951" s="62"/>
      <c r="L951" s="62"/>
      <c r="M951" s="62"/>
    </row>
    <row r="952">
      <c r="G952" s="60"/>
      <c r="J952" s="61"/>
      <c r="K952" s="62"/>
      <c r="L952" s="62"/>
      <c r="M952" s="62"/>
    </row>
    <row r="953">
      <c r="G953" s="60"/>
      <c r="J953" s="61"/>
      <c r="K953" s="62"/>
      <c r="L953" s="62"/>
      <c r="M953" s="62"/>
    </row>
    <row r="954">
      <c r="G954" s="60"/>
      <c r="J954" s="61"/>
      <c r="K954" s="62"/>
      <c r="L954" s="62"/>
      <c r="M954" s="62"/>
    </row>
    <row r="955">
      <c r="G955" s="60"/>
      <c r="J955" s="61"/>
      <c r="K955" s="62"/>
      <c r="L955" s="62"/>
      <c r="M955" s="62"/>
    </row>
    <row r="956">
      <c r="G956" s="60"/>
      <c r="J956" s="61"/>
      <c r="K956" s="62"/>
      <c r="L956" s="62"/>
      <c r="M956" s="62"/>
    </row>
    <row r="957">
      <c r="G957" s="60"/>
      <c r="J957" s="61"/>
      <c r="K957" s="62"/>
      <c r="L957" s="62"/>
      <c r="M957" s="62"/>
    </row>
    <row r="958">
      <c r="G958" s="60"/>
      <c r="J958" s="61"/>
      <c r="K958" s="62"/>
      <c r="L958" s="62"/>
      <c r="M958" s="62"/>
    </row>
    <row r="959">
      <c r="G959" s="60"/>
      <c r="J959" s="61"/>
      <c r="K959" s="62"/>
      <c r="L959" s="62"/>
      <c r="M959" s="62"/>
    </row>
    <row r="960">
      <c r="G960" s="60"/>
      <c r="J960" s="61"/>
      <c r="K960" s="62"/>
      <c r="L960" s="62"/>
      <c r="M960" s="62"/>
    </row>
    <row r="961">
      <c r="G961" s="60"/>
      <c r="J961" s="61"/>
      <c r="K961" s="62"/>
      <c r="L961" s="62"/>
      <c r="M961" s="62"/>
    </row>
    <row r="962">
      <c r="G962" s="60"/>
      <c r="J962" s="61"/>
      <c r="K962" s="62"/>
      <c r="L962" s="62"/>
      <c r="M962" s="62"/>
    </row>
    <row r="963">
      <c r="G963" s="60"/>
      <c r="J963" s="61"/>
      <c r="K963" s="62"/>
      <c r="L963" s="62"/>
      <c r="M963" s="62"/>
    </row>
    <row r="964">
      <c r="G964" s="60"/>
      <c r="J964" s="61"/>
      <c r="K964" s="62"/>
      <c r="L964" s="62"/>
      <c r="M964" s="62"/>
    </row>
    <row r="965">
      <c r="G965" s="60"/>
      <c r="J965" s="61"/>
      <c r="K965" s="62"/>
      <c r="L965" s="62"/>
      <c r="M965" s="62"/>
    </row>
    <row r="966">
      <c r="G966" s="60"/>
      <c r="J966" s="61"/>
      <c r="K966" s="62"/>
      <c r="L966" s="62"/>
      <c r="M966" s="62"/>
    </row>
    <row r="967">
      <c r="G967" s="60"/>
      <c r="J967" s="61"/>
      <c r="K967" s="62"/>
      <c r="L967" s="62"/>
      <c r="M967" s="62"/>
    </row>
    <row r="968">
      <c r="G968" s="60"/>
      <c r="J968" s="61"/>
      <c r="K968" s="62"/>
      <c r="L968" s="62"/>
      <c r="M968" s="62"/>
    </row>
    <row r="969">
      <c r="G969" s="60"/>
      <c r="J969" s="61"/>
      <c r="K969" s="62"/>
      <c r="L969" s="62"/>
      <c r="M969" s="62"/>
    </row>
    <row r="970">
      <c r="G970" s="60"/>
      <c r="J970" s="61"/>
      <c r="K970" s="62"/>
      <c r="L970" s="62"/>
      <c r="M970" s="62"/>
    </row>
    <row r="971">
      <c r="G971" s="60"/>
      <c r="J971" s="61"/>
      <c r="K971" s="62"/>
      <c r="L971" s="62"/>
      <c r="M971" s="62"/>
    </row>
    <row r="972">
      <c r="G972" s="60"/>
      <c r="J972" s="61"/>
      <c r="K972" s="62"/>
      <c r="L972" s="62"/>
      <c r="M972" s="62"/>
    </row>
    <row r="973">
      <c r="G973" s="60"/>
      <c r="J973" s="61"/>
      <c r="K973" s="62"/>
      <c r="L973" s="62"/>
      <c r="M973" s="62"/>
    </row>
    <row r="974">
      <c r="G974" s="60"/>
      <c r="J974" s="61"/>
      <c r="K974" s="62"/>
      <c r="L974" s="62"/>
      <c r="M974" s="62"/>
    </row>
    <row r="975">
      <c r="G975" s="60"/>
      <c r="J975" s="61"/>
      <c r="K975" s="62"/>
      <c r="L975" s="62"/>
      <c r="M975" s="62"/>
    </row>
    <row r="976">
      <c r="G976" s="60"/>
      <c r="J976" s="61"/>
      <c r="K976" s="62"/>
      <c r="L976" s="62"/>
      <c r="M976" s="62"/>
    </row>
    <row r="977">
      <c r="G977" s="60"/>
      <c r="J977" s="61"/>
      <c r="K977" s="62"/>
      <c r="L977" s="62"/>
      <c r="M977" s="62"/>
    </row>
    <row r="978">
      <c r="G978" s="60"/>
      <c r="J978" s="61"/>
      <c r="K978" s="62"/>
      <c r="L978" s="62"/>
      <c r="M978" s="62"/>
    </row>
    <row r="979">
      <c r="G979" s="60"/>
      <c r="J979" s="61"/>
      <c r="K979" s="62"/>
      <c r="L979" s="62"/>
      <c r="M979" s="62"/>
    </row>
    <row r="980">
      <c r="G980" s="60"/>
      <c r="J980" s="61"/>
      <c r="K980" s="62"/>
      <c r="L980" s="62"/>
      <c r="M980" s="62"/>
    </row>
    <row r="981">
      <c r="G981" s="60"/>
      <c r="J981" s="61"/>
      <c r="K981" s="62"/>
      <c r="L981" s="62"/>
      <c r="M981" s="62"/>
    </row>
    <row r="982">
      <c r="G982" s="60"/>
      <c r="J982" s="61"/>
      <c r="K982" s="62"/>
      <c r="L982" s="62"/>
      <c r="M982" s="62"/>
    </row>
    <row r="983">
      <c r="G983" s="60"/>
      <c r="J983" s="61"/>
      <c r="K983" s="62"/>
      <c r="L983" s="62"/>
      <c r="M983" s="62"/>
    </row>
  </sheetData>
  <autoFilter ref="$A$1:$M$133">
    <filterColumn colId="9">
      <filters>
        <filter val="Review (with authors)"/>
        <filter val="Pre-review"/>
        <filter val="Review (with us)"/>
      </filters>
    </filterColumn>
  </autoFilter>
  <conditionalFormatting sqref="A2:M133">
    <cfRule type="cellIs" dxfId="0" priority="1" operator="equal">
      <formula>"Declined"</formula>
    </cfRule>
  </conditionalFormatting>
  <conditionalFormatting sqref="A2:M133">
    <cfRule type="cellIs" dxfId="1" priority="2" operator="equal">
      <formula>"Published"</formula>
    </cfRule>
  </conditionalFormatting>
  <conditionalFormatting sqref="A2:M133">
    <cfRule type="cellIs" dxfId="2" priority="3" operator="equal">
      <formula>"Review"</formula>
    </cfRule>
  </conditionalFormatting>
  <conditionalFormatting sqref="A2:M133">
    <cfRule type="cellIs" dxfId="3" priority="4" operator="equal">
      <formula>"Accepted"</formula>
    </cfRule>
  </conditionalFormatting>
  <conditionalFormatting sqref="A2:M983">
    <cfRule type="cellIs" dxfId="4" priority="5" operator="equal">
      <formula>"Pre-review"</formula>
    </cfRule>
  </conditionalFormatting>
  <conditionalFormatting sqref="A2:M133">
    <cfRule type="cellIs" dxfId="0" priority="6" operator="equal">
      <formula>"Declined"</formula>
    </cfRule>
  </conditionalFormatting>
  <dataValidations>
    <dataValidation type="list" allowBlank="1" sqref="J134:J983">
      <formula1>"Pre-review,Review,Declined,Accepted,Published"</formula1>
    </dataValidation>
    <dataValidation type="list" allowBlank="1" sqref="J11:J12 J25 J36 J40 J51 J56:J58 J60:J62 J75 J78 J80:J87 J91:J100 J103:J109 J114 J117 J120:J123 J125:J126 J128:J129">
      <formula1>"Pre-review,Review (with authors),Review (with us),Review,Declined,Accepted,Published"</formula1>
    </dataValidation>
    <dataValidation type="list" allowBlank="1" sqref="J2:J10 J13:J24 J26:J35 J37:J39 J41:J50 J52:J55 J59 J63:J74 J76:J77 J79 J88:J90 J101:J102 J110:J113 J115:J116 J118:J119 J124 J127 J130:J133">
      <formula1>"Pre-review,Review(with authors),Review (with us),Review,Declined,Accepted,Published"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4" max="4" width="42.38"/>
  </cols>
  <sheetData>
    <row r="1">
      <c r="A1" s="63" t="s">
        <v>268</v>
      </c>
      <c r="B1" s="64" t="s">
        <v>269</v>
      </c>
      <c r="C1" s="65" t="s">
        <v>5</v>
      </c>
      <c r="D1" s="66" t="s">
        <v>9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>
      <c r="A2" s="68">
        <v>2020.0</v>
      </c>
      <c r="E2" s="16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>
      <c r="A3" s="70"/>
      <c r="B3" s="71">
        <v>465.0</v>
      </c>
      <c r="C3" s="72" t="s">
        <v>270</v>
      </c>
      <c r="D3" s="70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>
      <c r="A4" s="15"/>
      <c r="B4" s="75">
        <v>477.0</v>
      </c>
      <c r="D4" s="15"/>
      <c r="E4" s="15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</row>
    <row r="5">
      <c r="A5" s="76">
        <v>483.0</v>
      </c>
      <c r="B5" s="77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>
      <c r="A6" s="78">
        <v>493.0</v>
      </c>
      <c r="B6" s="7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>
      <c r="A7" s="76">
        <v>499.0</v>
      </c>
      <c r="B7" s="77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>
      <c r="A8" s="78">
        <v>503.0</v>
      </c>
      <c r="B8" s="7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>
      <c r="A9" s="76">
        <v>509.0</v>
      </c>
      <c r="B9" s="80"/>
      <c r="C9" s="81" t="s">
        <v>271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>
      <c r="A10" s="78">
        <v>511.0</v>
      </c>
      <c r="B10" s="8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>
      <c r="A11" s="76">
        <v>513.0</v>
      </c>
      <c r="B11" s="80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>
      <c r="A12" s="78">
        <v>515.0</v>
      </c>
      <c r="B12" s="82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>
      <c r="A13" s="76">
        <v>517.0</v>
      </c>
      <c r="B13" s="80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>
      <c r="A14" s="78">
        <v>525.0</v>
      </c>
      <c r="B14" s="8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5">
      <c r="A15" s="76">
        <v>533.0</v>
      </c>
      <c r="B15" s="8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>
      <c r="A16" s="78">
        <v>535.0</v>
      </c>
      <c r="B16" s="85"/>
      <c r="C16" s="86" t="s">
        <v>272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>
      <c r="A17" s="76">
        <v>537.0</v>
      </c>
      <c r="B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>
      <c r="A18" s="78">
        <v>539.0</v>
      </c>
      <c r="B18" s="85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</row>
    <row r="19">
      <c r="A19" s="76">
        <v>541.0</v>
      </c>
      <c r="B19" s="84"/>
      <c r="D19" s="74"/>
      <c r="E19" s="76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>
      <c r="A20" s="78">
        <v>543.0</v>
      </c>
      <c r="B20" s="85"/>
      <c r="D20" s="69"/>
      <c r="E20" s="7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>
      <c r="A21" s="76">
        <v>545.0</v>
      </c>
      <c r="B21" s="77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>
      <c r="A22" s="78">
        <v>547.0</v>
      </c>
      <c r="B22" s="7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</row>
    <row r="23">
      <c r="A23" s="76">
        <v>549.0</v>
      </c>
      <c r="B23" s="77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>
      <c r="A24" s="78">
        <v>559.0</v>
      </c>
      <c r="B24" s="7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>
      <c r="A25" s="76">
        <v>563.0</v>
      </c>
      <c r="B25" s="77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>
      <c r="A26" s="78">
        <v>567.0</v>
      </c>
      <c r="B26" s="7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>
      <c r="A27" s="76">
        <v>573.0</v>
      </c>
      <c r="B27" s="77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>
      <c r="A28" s="78">
        <v>575.0</v>
      </c>
      <c r="B28" s="79"/>
      <c r="C28" s="86" t="s">
        <v>273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>
      <c r="A29" s="76">
        <v>579.0</v>
      </c>
      <c r="B29" s="77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>
      <c r="A30" s="78">
        <v>583.0</v>
      </c>
      <c r="B30" s="7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</row>
    <row r="31">
      <c r="A31" s="76">
        <v>587.0</v>
      </c>
      <c r="B31" s="77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>
      <c r="A32" s="78">
        <v>591.0</v>
      </c>
      <c r="B32" s="7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>
      <c r="A33" s="76">
        <v>593.0</v>
      </c>
      <c r="B33" s="77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>
      <c r="A34" s="78">
        <v>597.0</v>
      </c>
      <c r="B34" s="7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</row>
    <row r="35">
      <c r="A35" s="76">
        <v>599.0</v>
      </c>
      <c r="B35" s="77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>
      <c r="A36" s="78">
        <v>601.0</v>
      </c>
      <c r="B36" s="7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</row>
    <row r="37">
      <c r="A37" s="76">
        <v>605.0</v>
      </c>
      <c r="B37" s="77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</row>
    <row r="38">
      <c r="A38" s="78">
        <v>607.0</v>
      </c>
      <c r="B38" s="7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</row>
    <row r="39">
      <c r="A39" s="76">
        <v>609.0</v>
      </c>
      <c r="B39" s="77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>
      <c r="A40" s="78">
        <v>613.0</v>
      </c>
      <c r="B40" s="7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</row>
    <row r="41">
      <c r="A41" s="76">
        <v>615.0</v>
      </c>
      <c r="B41" s="77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>
      <c r="A42" s="78">
        <v>617.0</v>
      </c>
      <c r="B42" s="7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>
      <c r="A43" s="76">
        <v>619.0</v>
      </c>
      <c r="B43" s="77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  <row r="44">
      <c r="A44" s="78">
        <v>621.0</v>
      </c>
      <c r="B44" s="7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</row>
    <row r="45">
      <c r="A45" s="76">
        <v>623.0</v>
      </c>
      <c r="B45" s="7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</row>
    <row r="46">
      <c r="A46" s="78">
        <v>625.0</v>
      </c>
      <c r="B46" s="7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</row>
    <row r="47">
      <c r="A47" s="76">
        <v>629.0</v>
      </c>
      <c r="B47" s="7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</row>
    <row r="48">
      <c r="A48" s="78">
        <v>631.0</v>
      </c>
      <c r="B48" s="7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</row>
    <row r="49">
      <c r="A49" s="76">
        <v>633.0</v>
      </c>
      <c r="B49" s="7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>
      <c r="A50" s="78">
        <v>635.0</v>
      </c>
      <c r="B50" s="7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</row>
    <row r="51">
      <c r="A51" s="76">
        <v>639.0</v>
      </c>
      <c r="B51" s="7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>
      <c r="A52" s="78">
        <v>641.0</v>
      </c>
      <c r="B52" s="7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</row>
    <row r="53">
      <c r="A53" s="76">
        <v>657.0</v>
      </c>
      <c r="B53" s="77"/>
      <c r="C53" s="81" t="s">
        <v>274</v>
      </c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>
      <c r="A54" s="78">
        <v>661.0</v>
      </c>
      <c r="B54" s="7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</row>
    <row r="55">
      <c r="A55" s="76">
        <v>663.0</v>
      </c>
      <c r="B55" s="7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>
      <c r="A56" s="78">
        <v>665.0</v>
      </c>
      <c r="B56" s="7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</row>
    <row r="57">
      <c r="A57" s="76">
        <v>667.0</v>
      </c>
      <c r="B57" s="77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</row>
    <row r="58">
      <c r="A58" s="78">
        <v>669.0</v>
      </c>
      <c r="B58" s="7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</row>
    <row r="59">
      <c r="A59" s="76">
        <v>671.0</v>
      </c>
      <c r="B59" s="7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</row>
    <row r="60">
      <c r="A60" s="69"/>
      <c r="B60" s="87">
        <v>677.0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</row>
    <row r="61">
      <c r="A61" s="76">
        <v>681.0</v>
      </c>
      <c r="B61" s="7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</row>
    <row r="62">
      <c r="A62" s="78">
        <v>687.0</v>
      </c>
      <c r="B62" s="7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</row>
    <row r="63">
      <c r="A63" s="76">
        <v>691.0</v>
      </c>
      <c r="B63" s="7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>
      <c r="A64" s="78">
        <v>693.0</v>
      </c>
      <c r="B64" s="7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</row>
    <row r="65">
      <c r="A65" s="74"/>
      <c r="B65" s="88">
        <v>697.0</v>
      </c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</row>
    <row r="66">
      <c r="A66" s="78">
        <v>699.0</v>
      </c>
      <c r="B66" s="7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</row>
    <row r="67">
      <c r="A67" s="76">
        <v>701.0</v>
      </c>
      <c r="B67" s="7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>
      <c r="A68" s="78">
        <v>703.0</v>
      </c>
      <c r="B68" s="7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</row>
    <row r="69">
      <c r="A69" s="76">
        <v>705.0</v>
      </c>
      <c r="B69" s="7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</row>
    <row r="70">
      <c r="A70" s="78">
        <v>707.0</v>
      </c>
      <c r="B70" s="79"/>
      <c r="C70" s="86" t="s">
        <v>275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</row>
    <row r="71">
      <c r="A71" s="76">
        <v>709.0</v>
      </c>
      <c r="B71" s="77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</row>
    <row r="72">
      <c r="A72" s="78">
        <v>711.0</v>
      </c>
      <c r="B72" s="7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</row>
    <row r="73">
      <c r="A73" s="76">
        <v>713.0</v>
      </c>
      <c r="B73" s="77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</row>
    <row r="74">
      <c r="A74" s="78">
        <v>717.0</v>
      </c>
      <c r="B74" s="7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</row>
    <row r="75">
      <c r="A75" s="76">
        <v>721.0</v>
      </c>
      <c r="B75" s="77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</row>
    <row r="76">
      <c r="A76" s="78">
        <v>723.0</v>
      </c>
      <c r="B76" s="7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  <row r="77">
      <c r="A77" s="76">
        <v>725.0</v>
      </c>
      <c r="B77" s="77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</row>
    <row r="78">
      <c r="A78" s="78">
        <v>731.0</v>
      </c>
      <c r="B78" s="7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</row>
    <row r="79">
      <c r="A79" s="74"/>
      <c r="B79" s="88">
        <v>733.0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</row>
    <row r="80">
      <c r="A80" s="69"/>
      <c r="B80" s="87">
        <v>735.0</v>
      </c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</row>
    <row r="81">
      <c r="A81" s="76">
        <v>737.0</v>
      </c>
      <c r="B81" s="77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</row>
    <row r="82">
      <c r="A82" s="78">
        <v>739.0</v>
      </c>
      <c r="B82" s="7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</row>
    <row r="83">
      <c r="A83" s="76">
        <v>741.0</v>
      </c>
      <c r="B83" s="77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</row>
    <row r="84">
      <c r="A84" s="78">
        <v>745.0</v>
      </c>
      <c r="B84" s="7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</row>
    <row r="85">
      <c r="A85" s="76">
        <v>747.0</v>
      </c>
      <c r="B85" s="77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</row>
    <row r="86">
      <c r="A86" s="78">
        <v>751.0</v>
      </c>
      <c r="B86" s="7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</row>
    <row r="87">
      <c r="A87" s="76">
        <v>753.0</v>
      </c>
      <c r="B87" s="77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</row>
    <row r="88">
      <c r="A88" s="69"/>
      <c r="B88" s="87">
        <v>755.0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</row>
    <row r="89">
      <c r="A89" s="76">
        <v>757.0</v>
      </c>
      <c r="B89" s="77"/>
      <c r="C89" s="81" t="s">
        <v>276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</row>
    <row r="90">
      <c r="A90" s="78">
        <v>759.0</v>
      </c>
      <c r="B90" s="7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</row>
    <row r="91">
      <c r="A91" s="76">
        <v>761.0</v>
      </c>
      <c r="B91" s="77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</row>
    <row r="92">
      <c r="A92" s="78">
        <v>763.0</v>
      </c>
      <c r="B92" s="7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</row>
    <row r="93">
      <c r="A93" s="76">
        <v>767.0</v>
      </c>
      <c r="B93" s="77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</row>
    <row r="94">
      <c r="A94" s="78">
        <v>773.0</v>
      </c>
      <c r="B94" s="7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</row>
    <row r="95">
      <c r="A95" s="76">
        <v>775.0</v>
      </c>
      <c r="B95" s="77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</row>
    <row r="96">
      <c r="A96" s="78">
        <v>779.0</v>
      </c>
      <c r="B96" s="7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</row>
    <row r="97">
      <c r="A97" s="76">
        <v>781.0</v>
      </c>
      <c r="B97" s="77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</row>
    <row r="98">
      <c r="A98" s="78">
        <v>785.0</v>
      </c>
      <c r="B98" s="7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</row>
    <row r="99">
      <c r="A99" s="76">
        <v>787.0</v>
      </c>
      <c r="B99" s="77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</row>
    <row r="100">
      <c r="A100" s="78">
        <v>789.0</v>
      </c>
      <c r="B100" s="7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</row>
    <row r="101">
      <c r="A101" s="76">
        <v>791.0</v>
      </c>
      <c r="B101" s="77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</row>
    <row r="102">
      <c r="A102" s="78">
        <v>797.0</v>
      </c>
      <c r="B102" s="7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</row>
    <row r="103">
      <c r="A103" s="76">
        <v>801.0</v>
      </c>
      <c r="B103" s="77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</row>
    <row r="104">
      <c r="A104" s="78">
        <v>803.0</v>
      </c>
      <c r="B104" s="7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</row>
    <row r="105">
      <c r="A105" s="76">
        <v>807.0</v>
      </c>
      <c r="B105" s="77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</row>
    <row r="106">
      <c r="A106" s="78">
        <v>819.0</v>
      </c>
      <c r="B106" s="79"/>
      <c r="C106" s="86" t="s">
        <v>277</v>
      </c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</row>
    <row r="107">
      <c r="A107" s="76">
        <v>831.0</v>
      </c>
      <c r="B107" s="77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</row>
    <row r="108">
      <c r="A108" s="78">
        <v>839.0</v>
      </c>
      <c r="B108" s="7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</row>
    <row r="109">
      <c r="A109" s="76">
        <v>841.0</v>
      </c>
      <c r="B109" s="77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</row>
    <row r="110">
      <c r="A110" s="78">
        <v>845.0</v>
      </c>
      <c r="B110" s="7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</row>
    <row r="111">
      <c r="A111" s="76">
        <v>847.0</v>
      </c>
      <c r="B111" s="77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</row>
    <row r="112">
      <c r="A112" s="78">
        <v>851.0</v>
      </c>
      <c r="B112" s="7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</row>
    <row r="113">
      <c r="A113" s="76">
        <v>855.0</v>
      </c>
      <c r="B113" s="77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</row>
    <row r="114">
      <c r="A114" s="78">
        <v>859.0</v>
      </c>
      <c r="B114" s="7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</row>
    <row r="115">
      <c r="A115" s="74"/>
      <c r="B115" s="88">
        <v>863.0</v>
      </c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</row>
    <row r="116">
      <c r="A116" s="78">
        <v>865.0</v>
      </c>
      <c r="B116" s="7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</row>
    <row r="117">
      <c r="A117" s="76">
        <v>867.0</v>
      </c>
      <c r="B117" s="77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</row>
    <row r="118">
      <c r="A118" s="78">
        <v>869.0</v>
      </c>
      <c r="B118" s="7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</row>
    <row r="119">
      <c r="A119" s="76">
        <v>875.0</v>
      </c>
      <c r="B119" s="77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</row>
    <row r="120">
      <c r="A120" s="78">
        <v>877.0</v>
      </c>
      <c r="B120" s="7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</row>
    <row r="121">
      <c r="A121" s="76">
        <v>879.0</v>
      </c>
      <c r="B121" s="77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</row>
    <row r="122">
      <c r="A122" s="69"/>
      <c r="B122" s="87">
        <v>881.0</v>
      </c>
      <c r="D122" s="78" t="s">
        <v>278</v>
      </c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</row>
    <row r="123">
      <c r="A123" s="89">
        <v>2021.0</v>
      </c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</row>
    <row r="124">
      <c r="A124" s="78">
        <v>885.0</v>
      </c>
      <c r="B124" s="79"/>
      <c r="C124" s="86" t="s">
        <v>279</v>
      </c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</row>
    <row r="125">
      <c r="A125" s="76">
        <v>891.0</v>
      </c>
      <c r="B125" s="77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</row>
    <row r="126">
      <c r="A126" s="78">
        <v>893.0</v>
      </c>
      <c r="B126" s="7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</row>
    <row r="127">
      <c r="A127" s="76">
        <v>897.0</v>
      </c>
      <c r="B127" s="77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</row>
    <row r="128">
      <c r="A128" s="78">
        <v>899.0</v>
      </c>
      <c r="B128" s="7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</row>
    <row r="129">
      <c r="A129" s="76">
        <v>901.0</v>
      </c>
      <c r="B129" s="77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</row>
    <row r="130">
      <c r="A130" s="78">
        <v>905.0</v>
      </c>
      <c r="B130" s="7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>
      <c r="A131" s="76">
        <v>907.0</v>
      </c>
      <c r="B131" s="77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</row>
    <row r="132">
      <c r="A132" s="78">
        <v>913.0</v>
      </c>
      <c r="B132" s="7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>
      <c r="A133" s="76">
        <v>919.0</v>
      </c>
      <c r="B133" s="77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</row>
    <row r="134">
      <c r="A134" s="78">
        <v>921.0</v>
      </c>
      <c r="B134" s="7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</row>
    <row r="135">
      <c r="A135" s="74"/>
      <c r="B135" s="88">
        <v>923.0</v>
      </c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</row>
    <row r="136">
      <c r="A136" s="78">
        <v>925.0</v>
      </c>
      <c r="B136" s="7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</row>
    <row r="137">
      <c r="A137" s="76">
        <v>927.0</v>
      </c>
      <c r="B137" s="77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</row>
    <row r="138">
      <c r="A138" s="78">
        <v>931.0</v>
      </c>
      <c r="B138" s="7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</row>
    <row r="139">
      <c r="A139" s="76">
        <v>935.0</v>
      </c>
      <c r="B139" s="77"/>
      <c r="C139" s="81" t="s">
        <v>280</v>
      </c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</row>
    <row r="140">
      <c r="A140" s="78">
        <v>941.0</v>
      </c>
      <c r="B140" s="7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</row>
    <row r="141">
      <c r="A141" s="76">
        <v>943.0</v>
      </c>
      <c r="B141" s="77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</row>
    <row r="142">
      <c r="A142" s="78">
        <v>945.0</v>
      </c>
      <c r="B142" s="7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</row>
    <row r="143">
      <c r="A143" s="76">
        <v>949.0</v>
      </c>
      <c r="B143" s="77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</row>
    <row r="144">
      <c r="A144" s="78">
        <v>951.0</v>
      </c>
      <c r="B144" s="7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</row>
    <row r="145">
      <c r="A145" s="76">
        <v>955.0</v>
      </c>
      <c r="B145" s="77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</row>
    <row r="146">
      <c r="A146" s="69"/>
      <c r="B146" s="87">
        <v>963.0</v>
      </c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</row>
    <row r="147">
      <c r="A147" s="76">
        <v>969.0</v>
      </c>
      <c r="B147" s="77"/>
      <c r="C147" s="81" t="s">
        <v>281</v>
      </c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</row>
    <row r="148">
      <c r="A148" s="78">
        <v>975.0</v>
      </c>
      <c r="B148" s="7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</row>
    <row r="149">
      <c r="A149" s="76">
        <v>977.0</v>
      </c>
      <c r="B149" s="77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</row>
    <row r="150">
      <c r="A150" s="78">
        <v>981.0</v>
      </c>
      <c r="B150" s="7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</row>
    <row r="151">
      <c r="A151" s="76">
        <v>985.0</v>
      </c>
      <c r="B151" s="77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</row>
    <row r="152">
      <c r="A152" s="78">
        <v>993.0</v>
      </c>
      <c r="B152" s="7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</row>
    <row r="153">
      <c r="A153" s="76">
        <v>995.0</v>
      </c>
      <c r="B153" s="77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</row>
    <row r="154">
      <c r="A154" s="78">
        <v>997.0</v>
      </c>
      <c r="B154" s="7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</row>
    <row r="155">
      <c r="A155" s="74"/>
      <c r="B155" s="88">
        <v>999.0</v>
      </c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</row>
    <row r="156">
      <c r="A156" s="78">
        <v>1001.0</v>
      </c>
      <c r="B156" s="7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</row>
    <row r="157">
      <c r="A157" s="76">
        <v>1003.0</v>
      </c>
      <c r="B157" s="77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</row>
    <row r="158">
      <c r="A158" s="78">
        <v>1007.0</v>
      </c>
      <c r="B158" s="7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</row>
    <row r="159">
      <c r="A159" s="76">
        <v>1009.0</v>
      </c>
      <c r="B159" s="77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</row>
    <row r="160">
      <c r="A160" s="78">
        <v>1011.0</v>
      </c>
      <c r="B160" s="79"/>
      <c r="C160" s="86" t="s">
        <v>282</v>
      </c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</row>
    <row r="161">
      <c r="A161" s="76">
        <v>1015.0</v>
      </c>
      <c r="B161" s="77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</row>
    <row r="162">
      <c r="A162" s="69"/>
      <c r="B162" s="87">
        <v>1017.0</v>
      </c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</row>
    <row r="163">
      <c r="A163" s="76">
        <v>1019.0</v>
      </c>
      <c r="B163" s="77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</row>
    <row r="164">
      <c r="A164" s="78">
        <v>1021.0</v>
      </c>
      <c r="B164" s="7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</row>
    <row r="165">
      <c r="A165" s="76">
        <v>1023.0</v>
      </c>
      <c r="B165" s="77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</row>
    <row r="166">
      <c r="A166" s="78">
        <v>1027.0</v>
      </c>
      <c r="B166" s="7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</row>
    <row r="167">
      <c r="A167" s="76">
        <v>1035.0</v>
      </c>
      <c r="B167" s="77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</row>
    <row r="168">
      <c r="A168" s="78">
        <v>1037.0</v>
      </c>
      <c r="B168" s="79"/>
      <c r="C168" s="86" t="s">
        <v>270</v>
      </c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</row>
    <row r="169">
      <c r="A169" s="76">
        <v>1039.0</v>
      </c>
      <c r="B169" s="77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</row>
    <row r="170">
      <c r="A170" s="78">
        <v>1041.0</v>
      </c>
      <c r="B170" s="7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</row>
    <row r="171">
      <c r="A171" s="76">
        <v>1045.0</v>
      </c>
      <c r="B171" s="77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</row>
    <row r="172">
      <c r="A172" s="78">
        <v>1053.0</v>
      </c>
      <c r="B172" s="7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</row>
    <row r="173">
      <c r="A173" s="76">
        <v>1055.0</v>
      </c>
      <c r="B173" s="77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</row>
    <row r="174">
      <c r="A174" s="78">
        <v>1061.0</v>
      </c>
      <c r="B174" s="7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</row>
    <row r="175">
      <c r="A175" s="76">
        <v>1063.0</v>
      </c>
      <c r="B175" s="77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</row>
    <row r="176">
      <c r="A176" s="69"/>
      <c r="B176" s="87">
        <v>1051.0</v>
      </c>
      <c r="D176" s="78" t="s">
        <v>278</v>
      </c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</row>
    <row r="177">
      <c r="A177" s="76">
        <v>1065.0</v>
      </c>
      <c r="B177" s="77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</row>
    <row r="178">
      <c r="A178" s="78">
        <v>1067.0</v>
      </c>
      <c r="B178" s="7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</row>
    <row r="179">
      <c r="A179" s="76">
        <v>1069.0</v>
      </c>
      <c r="B179" s="77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</row>
    <row r="180">
      <c r="A180" s="78">
        <v>1071.0</v>
      </c>
      <c r="B180" s="7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</row>
    <row r="181">
      <c r="A181" s="76">
        <v>1073.0</v>
      </c>
      <c r="B181" s="77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</row>
    <row r="182">
      <c r="A182" s="78">
        <v>1075.0</v>
      </c>
      <c r="B182" s="7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</row>
    <row r="183">
      <c r="A183" s="76">
        <v>1079.0</v>
      </c>
      <c r="B183" s="77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</row>
    <row r="184">
      <c r="A184" s="78">
        <v>1083.0</v>
      </c>
      <c r="B184" s="7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</row>
    <row r="185">
      <c r="A185" s="76">
        <v>1087.0</v>
      </c>
      <c r="B185" s="77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</row>
    <row r="186">
      <c r="A186" s="78">
        <v>1089.0</v>
      </c>
      <c r="B186" s="7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</row>
    <row r="187">
      <c r="A187" s="76">
        <v>1097.0</v>
      </c>
      <c r="B187" s="77"/>
      <c r="C187" s="81" t="s">
        <v>271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</row>
    <row r="188">
      <c r="A188" s="69"/>
      <c r="B188" s="87">
        <v>1099.0</v>
      </c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</row>
    <row r="189">
      <c r="A189" s="76">
        <v>1101.0</v>
      </c>
      <c r="B189" s="77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</row>
    <row r="190">
      <c r="A190" s="78">
        <v>1105.0</v>
      </c>
      <c r="B190" s="7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</row>
    <row r="191">
      <c r="A191" s="76">
        <v>1107.0</v>
      </c>
      <c r="B191" s="77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</row>
    <row r="192">
      <c r="A192" s="78">
        <v>1111.0</v>
      </c>
      <c r="B192" s="7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</row>
    <row r="193">
      <c r="A193" s="76">
        <v>1113.0</v>
      </c>
      <c r="B193" s="77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</row>
    <row r="194">
      <c r="A194" s="78">
        <v>1115.0</v>
      </c>
      <c r="B194" s="7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</row>
    <row r="195">
      <c r="A195" s="76">
        <v>1117.0</v>
      </c>
      <c r="B195" s="77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</row>
    <row r="196">
      <c r="A196" s="69"/>
      <c r="B196" s="87">
        <v>1121.0</v>
      </c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</row>
    <row r="197">
      <c r="A197" s="76">
        <v>1125.0</v>
      </c>
      <c r="B197" s="77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</row>
    <row r="198">
      <c r="A198" s="78">
        <v>1127.0</v>
      </c>
      <c r="B198" s="7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</row>
    <row r="199">
      <c r="A199" s="76">
        <v>1129.0</v>
      </c>
      <c r="B199" s="77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</row>
    <row r="200">
      <c r="A200" s="78">
        <v>1135.0</v>
      </c>
      <c r="B200" s="7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</row>
    <row r="201">
      <c r="A201" s="76">
        <v>1137.0</v>
      </c>
      <c r="B201" s="77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</row>
    <row r="202">
      <c r="A202" s="78">
        <v>1139.0</v>
      </c>
      <c r="B202" s="7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</row>
    <row r="203">
      <c r="A203" s="76">
        <v>1143.0</v>
      </c>
      <c r="B203" s="77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</row>
    <row r="204">
      <c r="A204" s="78">
        <v>1145.0</v>
      </c>
      <c r="B204" s="79"/>
      <c r="C204" s="86" t="s">
        <v>272</v>
      </c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</row>
    <row r="205">
      <c r="A205" s="76">
        <v>1147.0</v>
      </c>
      <c r="B205" s="77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</row>
    <row r="206">
      <c r="A206" s="78">
        <v>1151.0</v>
      </c>
      <c r="B206" s="7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</row>
    <row r="207">
      <c r="A207" s="76">
        <v>1153.0</v>
      </c>
      <c r="B207" s="77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</row>
    <row r="208">
      <c r="A208" s="78">
        <v>1155.0</v>
      </c>
      <c r="B208" s="7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</row>
    <row r="209">
      <c r="A209" s="76">
        <v>1157.0</v>
      </c>
      <c r="B209" s="77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</row>
    <row r="210">
      <c r="A210" s="78">
        <v>1159.0</v>
      </c>
      <c r="B210" s="7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</row>
    <row r="211">
      <c r="A211" s="76">
        <v>1163.0</v>
      </c>
      <c r="B211" s="77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</row>
    <row r="212">
      <c r="A212" s="78">
        <v>1165.0</v>
      </c>
      <c r="B212" s="7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</row>
    <row r="213">
      <c r="A213" s="76"/>
      <c r="B213" s="88">
        <v>1167.0</v>
      </c>
      <c r="D213" s="76" t="s">
        <v>283</v>
      </c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</row>
    <row r="214">
      <c r="A214" s="78">
        <v>1169.0</v>
      </c>
      <c r="B214" s="7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</row>
    <row r="215">
      <c r="A215" s="76">
        <v>1171.0</v>
      </c>
      <c r="B215" s="77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</row>
    <row r="216">
      <c r="A216" s="78"/>
      <c r="B216" s="87">
        <v>1175.0</v>
      </c>
      <c r="D216" s="78" t="s">
        <v>284</v>
      </c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</row>
    <row r="217">
      <c r="A217" s="76">
        <v>1173.0</v>
      </c>
      <c r="B217" s="77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</row>
    <row r="218">
      <c r="A218" s="78">
        <v>1177.0</v>
      </c>
      <c r="B218" s="7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</row>
    <row r="219">
      <c r="A219" s="76"/>
      <c r="B219" s="88">
        <v>1181.0</v>
      </c>
      <c r="D219" s="76" t="s">
        <v>285</v>
      </c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</row>
    <row r="220">
      <c r="A220" s="78">
        <v>1183.0</v>
      </c>
      <c r="B220" s="7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</row>
    <row r="221">
      <c r="A221" s="76">
        <v>1187.0</v>
      </c>
      <c r="B221" s="77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</row>
    <row r="222">
      <c r="A222" s="78">
        <v>1189.0</v>
      </c>
      <c r="B222" s="7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</row>
    <row r="223">
      <c r="A223" s="76">
        <v>1191.0</v>
      </c>
      <c r="B223" s="77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</row>
    <row r="224">
      <c r="A224" s="78">
        <v>1193.0</v>
      </c>
      <c r="B224" s="7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</row>
    <row r="225">
      <c r="A225" s="76">
        <v>1195.0</v>
      </c>
      <c r="B225" s="77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</row>
    <row r="226">
      <c r="A226" s="78">
        <v>1201.0</v>
      </c>
      <c r="B226" s="7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</row>
    <row r="227">
      <c r="A227" s="76">
        <v>1207.0</v>
      </c>
      <c r="B227" s="77"/>
      <c r="C227" s="81" t="s">
        <v>273</v>
      </c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</row>
    <row r="228">
      <c r="A228" s="78">
        <v>1209.0</v>
      </c>
      <c r="B228" s="7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</row>
    <row r="229">
      <c r="A229" s="76">
        <v>1211.0</v>
      </c>
      <c r="B229" s="77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</row>
    <row r="230">
      <c r="A230" s="78">
        <v>1215.0</v>
      </c>
      <c r="B230" s="7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</row>
    <row r="231">
      <c r="A231" s="76">
        <v>1217.0</v>
      </c>
      <c r="B231" s="77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</row>
    <row r="232">
      <c r="A232" s="78"/>
      <c r="B232" s="87">
        <v>1219.0</v>
      </c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</row>
    <row r="233">
      <c r="A233" s="76">
        <v>1221.0</v>
      </c>
      <c r="B233" s="77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</row>
    <row r="234">
      <c r="A234" s="78">
        <v>1223.0</v>
      </c>
      <c r="B234" s="7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</row>
    <row r="235">
      <c r="B235" s="88">
        <v>1225.0</v>
      </c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</row>
    <row r="236">
      <c r="A236" s="78">
        <v>1227.0</v>
      </c>
      <c r="B236" s="7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</row>
    <row r="237">
      <c r="A237" s="76">
        <v>1231.0</v>
      </c>
      <c r="B237" s="77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</row>
    <row r="238">
      <c r="A238" s="78">
        <v>1235.0</v>
      </c>
      <c r="B238" s="79"/>
      <c r="C238" s="86" t="s">
        <v>274</v>
      </c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</row>
    <row r="239">
      <c r="A239" s="76">
        <v>1237.0</v>
      </c>
      <c r="B239" s="77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</row>
    <row r="240">
      <c r="A240" s="78">
        <v>1241.0</v>
      </c>
      <c r="B240" s="7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</row>
    <row r="241">
      <c r="A241" s="76">
        <v>1243.0</v>
      </c>
      <c r="B241" s="77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</row>
    <row r="242">
      <c r="A242" s="78">
        <v>1251.0</v>
      </c>
      <c r="B242" s="7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</row>
    <row r="243">
      <c r="A243" s="76">
        <v>1255.0</v>
      </c>
      <c r="B243" s="77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</row>
    <row r="244">
      <c r="A244" s="78">
        <v>1257.0</v>
      </c>
      <c r="B244" s="7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</row>
    <row r="245">
      <c r="A245" s="76">
        <v>1259.0</v>
      </c>
      <c r="B245" s="77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</row>
    <row r="246">
      <c r="A246" s="78">
        <v>1263.0</v>
      </c>
      <c r="B246" s="7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</row>
    <row r="247">
      <c r="A247" s="76">
        <v>1265.0</v>
      </c>
      <c r="B247" s="77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</row>
    <row r="248">
      <c r="A248" s="78">
        <v>1269.0</v>
      </c>
      <c r="B248" s="7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</row>
    <row r="249">
      <c r="A249" s="76">
        <v>1271.0</v>
      </c>
      <c r="B249" s="77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</row>
    <row r="250">
      <c r="A250" s="78">
        <v>1273.0</v>
      </c>
      <c r="B250" s="7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</row>
    <row r="251">
      <c r="A251" s="76">
        <v>1279.0</v>
      </c>
      <c r="B251" s="77"/>
      <c r="C251" s="81" t="s">
        <v>275</v>
      </c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</row>
    <row r="252">
      <c r="A252" s="78">
        <v>1281.0</v>
      </c>
      <c r="B252" s="7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</row>
    <row r="253">
      <c r="A253" s="76">
        <v>1283.0</v>
      </c>
      <c r="B253" s="77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</row>
    <row r="254">
      <c r="A254" s="78">
        <v>1285.0</v>
      </c>
      <c r="B254" s="7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</row>
    <row r="255">
      <c r="A255" s="76">
        <v>1287.0</v>
      </c>
      <c r="B255" s="77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</row>
    <row r="256">
      <c r="A256" s="78">
        <v>1289.0</v>
      </c>
      <c r="B256" s="7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</row>
    <row r="257">
      <c r="B257" s="88">
        <v>1295.0</v>
      </c>
      <c r="D257" s="76" t="s">
        <v>176</v>
      </c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</row>
    <row r="258">
      <c r="A258" s="78">
        <v>1293.0</v>
      </c>
      <c r="B258" s="7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</row>
    <row r="259">
      <c r="A259" s="74"/>
      <c r="B259" s="88">
        <v>1291.0</v>
      </c>
      <c r="D259" s="76" t="s">
        <v>286</v>
      </c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</row>
    <row r="260">
      <c r="A260" s="78">
        <v>1299.0</v>
      </c>
      <c r="B260" s="7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</row>
    <row r="261">
      <c r="A261" s="76">
        <v>1301.0</v>
      </c>
      <c r="B261" s="77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</row>
    <row r="262">
      <c r="A262" s="78">
        <v>1303.0</v>
      </c>
      <c r="B262" s="7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</row>
    <row r="263">
      <c r="A263" s="74"/>
      <c r="B263" s="88">
        <v>1307.0</v>
      </c>
      <c r="D263" s="76" t="s">
        <v>286</v>
      </c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</row>
    <row r="264">
      <c r="A264" s="78">
        <v>1311.0</v>
      </c>
      <c r="B264" s="7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</row>
    <row r="265">
      <c r="A265" s="74"/>
      <c r="B265" s="88">
        <v>1313.0</v>
      </c>
      <c r="D265" s="76" t="s">
        <v>286</v>
      </c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</row>
    <row r="266">
      <c r="A266" s="69"/>
      <c r="B266" s="87">
        <v>1315.0</v>
      </c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</row>
    <row r="267">
      <c r="A267" s="74"/>
      <c r="B267" s="88">
        <v>1321.0</v>
      </c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</row>
    <row r="268">
      <c r="A268" s="78">
        <v>1353.0</v>
      </c>
      <c r="B268" s="79"/>
      <c r="C268" s="90" t="s">
        <v>276</v>
      </c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</row>
    <row r="269">
      <c r="A269" s="74"/>
      <c r="B269" s="88">
        <v>1343.0</v>
      </c>
      <c r="D269" s="76" t="s">
        <v>287</v>
      </c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</row>
    <row r="270">
      <c r="A270" s="69"/>
      <c r="B270" s="87">
        <v>1345.0</v>
      </c>
      <c r="D270" s="78" t="s">
        <v>288</v>
      </c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</row>
    <row r="271">
      <c r="A271" s="74"/>
      <c r="B271" s="88">
        <v>1355.0</v>
      </c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</row>
    <row r="272">
      <c r="A272" s="69"/>
      <c r="B272" s="87">
        <v>1359.0</v>
      </c>
      <c r="D272" s="78" t="s">
        <v>289</v>
      </c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</row>
    <row r="273">
      <c r="A273" s="76">
        <v>1383.0</v>
      </c>
      <c r="B273" s="77"/>
      <c r="C273" s="81" t="s">
        <v>277</v>
      </c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</row>
    <row r="274">
      <c r="A274" s="78">
        <v>1385.0</v>
      </c>
      <c r="B274" s="7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</row>
    <row r="275">
      <c r="A275" s="76">
        <v>1387.0</v>
      </c>
      <c r="B275" s="77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</row>
    <row r="276">
      <c r="A276" s="78">
        <v>1393.0</v>
      </c>
      <c r="B276" s="7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</row>
    <row r="277">
      <c r="A277" s="74"/>
      <c r="B277" s="88">
        <v>1397.0</v>
      </c>
      <c r="D277" s="76" t="s">
        <v>290</v>
      </c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</row>
    <row r="278">
      <c r="A278" s="78">
        <v>1405.0</v>
      </c>
      <c r="B278" s="7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</row>
    <row r="279">
      <c r="A279" s="91">
        <v>1411.0</v>
      </c>
      <c r="B279" s="92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</row>
    <row r="280">
      <c r="A280" s="78">
        <v>1415.0</v>
      </c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</row>
    <row r="281">
      <c r="A281" s="76">
        <v>1417.0</v>
      </c>
      <c r="B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</row>
    <row r="282">
      <c r="A282" s="89">
        <v>2022.0</v>
      </c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</row>
    <row r="283">
      <c r="A283" s="76">
        <v>1423.0</v>
      </c>
      <c r="B283" s="74"/>
      <c r="C283" s="81" t="s">
        <v>279</v>
      </c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</row>
    <row r="284">
      <c r="A284" s="78">
        <v>1425.0</v>
      </c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</row>
    <row r="285">
      <c r="A285" s="76">
        <v>1431.0</v>
      </c>
      <c r="B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</row>
    <row r="286">
      <c r="A286" s="78">
        <v>1433.0</v>
      </c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</row>
    <row r="287">
      <c r="A287" s="76">
        <v>1435.0</v>
      </c>
      <c r="B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</row>
    <row r="288">
      <c r="A288" s="78">
        <v>1437.0</v>
      </c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</row>
    <row r="289">
      <c r="A289" s="76">
        <v>1439.0</v>
      </c>
      <c r="B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</row>
    <row r="290">
      <c r="A290" s="78">
        <v>1441.0</v>
      </c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</row>
    <row r="291">
      <c r="A291" s="76">
        <v>1443.0</v>
      </c>
      <c r="B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</row>
    <row r="292">
      <c r="A292" s="78">
        <v>1455.0</v>
      </c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</row>
    <row r="293">
      <c r="A293" s="76">
        <v>1457.0</v>
      </c>
      <c r="B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</row>
    <row r="294">
      <c r="A294" s="78">
        <v>1463.0</v>
      </c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</row>
    <row r="295">
      <c r="A295" s="76">
        <v>1465.0</v>
      </c>
      <c r="B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</row>
    <row r="296">
      <c r="A296" s="78">
        <v>1467.0</v>
      </c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</row>
    <row r="297">
      <c r="A297" s="76">
        <v>1471.0</v>
      </c>
      <c r="B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</row>
    <row r="298">
      <c r="A298" s="78">
        <v>1473.0</v>
      </c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</row>
    <row r="299">
      <c r="A299" s="76">
        <v>1475.0</v>
      </c>
      <c r="B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</row>
    <row r="300">
      <c r="A300" s="78">
        <v>1477.0</v>
      </c>
      <c r="B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</row>
    <row r="301">
      <c r="A301" s="76">
        <v>1485.0</v>
      </c>
      <c r="B301" s="74"/>
      <c r="C301" s="81" t="s">
        <v>280</v>
      </c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</row>
    <row r="302">
      <c r="A302" s="78">
        <v>1487.0</v>
      </c>
      <c r="B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</row>
    <row r="303">
      <c r="A303" s="76">
        <v>1493.0</v>
      </c>
      <c r="B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</row>
    <row r="304">
      <c r="A304" s="78">
        <v>1495.0</v>
      </c>
      <c r="B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</row>
    <row r="305">
      <c r="A305" s="76">
        <v>1499.0</v>
      </c>
      <c r="B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</row>
    <row r="306">
      <c r="A306" s="78">
        <v>1501.0</v>
      </c>
      <c r="B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</row>
    <row r="307">
      <c r="A307" s="76">
        <v>1503.0</v>
      </c>
      <c r="B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</row>
    <row r="308">
      <c r="A308" s="78">
        <v>1505.0</v>
      </c>
      <c r="B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</row>
    <row r="309">
      <c r="A309" s="76">
        <v>1507.0</v>
      </c>
      <c r="B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</row>
    <row r="310">
      <c r="A310" s="78">
        <v>1509.0</v>
      </c>
      <c r="B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</row>
    <row r="311">
      <c r="A311" s="76">
        <v>1513.0</v>
      </c>
      <c r="B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</row>
    <row r="312">
      <c r="A312" s="78">
        <v>1519.0</v>
      </c>
      <c r="B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</row>
    <row r="313">
      <c r="A313" s="76">
        <v>1521.0</v>
      </c>
      <c r="B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</row>
    <row r="314">
      <c r="A314" s="78">
        <v>1523.0</v>
      </c>
      <c r="B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</row>
    <row r="315">
      <c r="A315" s="76">
        <v>1527.0</v>
      </c>
      <c r="B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</row>
    <row r="316">
      <c r="A316" s="78">
        <v>1531.0</v>
      </c>
      <c r="B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</row>
    <row r="317">
      <c r="A317" s="76">
        <v>1535.0</v>
      </c>
      <c r="B317" s="74"/>
      <c r="C317" s="81" t="s">
        <v>281</v>
      </c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</row>
    <row r="318">
      <c r="A318" s="78">
        <v>1537.0</v>
      </c>
      <c r="B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</row>
    <row r="319">
      <c r="A319" s="76">
        <v>1539.0</v>
      </c>
      <c r="B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</row>
    <row r="320">
      <c r="A320" s="78">
        <v>1545.0</v>
      </c>
      <c r="B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</row>
    <row r="321">
      <c r="A321" s="76">
        <v>1549.0</v>
      </c>
      <c r="B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</row>
    <row r="322">
      <c r="A322" s="78">
        <v>1551.0</v>
      </c>
      <c r="B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</row>
    <row r="323">
      <c r="A323" s="76">
        <v>1553.0</v>
      </c>
      <c r="B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</row>
    <row r="324">
      <c r="A324" s="78">
        <v>1557.0</v>
      </c>
      <c r="B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</row>
    <row r="325">
      <c r="A325" s="76">
        <v>1559.0</v>
      </c>
      <c r="B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</row>
    <row r="326">
      <c r="A326" s="78">
        <v>1561.0</v>
      </c>
      <c r="B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</row>
    <row r="327">
      <c r="A327" s="76">
        <v>1565.0</v>
      </c>
      <c r="B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</row>
    <row r="328">
      <c r="A328" s="78">
        <v>1567.0</v>
      </c>
      <c r="B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</row>
    <row r="329">
      <c r="A329" s="76">
        <v>1569.0</v>
      </c>
      <c r="B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</row>
    <row r="330">
      <c r="A330" s="78">
        <v>1573.0</v>
      </c>
      <c r="B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</row>
    <row r="331">
      <c r="A331" s="76">
        <v>1571.0</v>
      </c>
      <c r="B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</row>
    <row r="332">
      <c r="A332" s="78">
        <v>1579.0</v>
      </c>
      <c r="B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</row>
    <row r="333">
      <c r="A333" s="76">
        <v>1581.0</v>
      </c>
      <c r="B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</row>
    <row r="334">
      <c r="A334" s="78">
        <v>1585.0</v>
      </c>
      <c r="B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</row>
    <row r="335">
      <c r="A335" s="76">
        <v>1589.0</v>
      </c>
      <c r="B335" s="74"/>
      <c r="C335" s="81" t="s">
        <v>282</v>
      </c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</row>
    <row r="336">
      <c r="A336" s="78">
        <v>1591.0</v>
      </c>
      <c r="B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</row>
    <row r="337">
      <c r="A337" s="76">
        <v>1593.0</v>
      </c>
      <c r="B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</row>
    <row r="338">
      <c r="A338" s="78">
        <v>1597.0</v>
      </c>
      <c r="B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</row>
    <row r="339">
      <c r="A339" s="76">
        <v>1599.0</v>
      </c>
      <c r="B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</row>
    <row r="340">
      <c r="A340" s="78">
        <v>1601.0</v>
      </c>
      <c r="B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</row>
    <row r="341">
      <c r="A341" s="76">
        <v>1603.0</v>
      </c>
      <c r="B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</row>
    <row r="342">
      <c r="A342" s="78">
        <v>1607.0</v>
      </c>
      <c r="B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</row>
    <row r="343">
      <c r="A343" s="76">
        <v>1609.0</v>
      </c>
      <c r="B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</row>
    <row r="344">
      <c r="A344" s="78">
        <v>1613.0</v>
      </c>
      <c r="B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</row>
    <row r="345">
      <c r="A345" s="76">
        <v>1615.0</v>
      </c>
      <c r="B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</row>
    <row r="346">
      <c r="A346" s="78">
        <v>1617.0</v>
      </c>
      <c r="B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</row>
    <row r="347">
      <c r="A347" s="76">
        <v>1619.0</v>
      </c>
      <c r="B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</row>
    <row r="348">
      <c r="A348" s="78">
        <v>1621.0</v>
      </c>
      <c r="B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</row>
    <row r="349">
      <c r="A349" s="76">
        <v>1623.0</v>
      </c>
      <c r="B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</row>
    <row r="350">
      <c r="A350" s="78">
        <v>1625.0</v>
      </c>
      <c r="B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</row>
    <row r="351">
      <c r="A351" s="76">
        <v>1629.0</v>
      </c>
      <c r="B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</row>
    <row r="352">
      <c r="A352" s="78">
        <v>1631.0</v>
      </c>
      <c r="B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</row>
    <row r="353">
      <c r="A353" s="76">
        <v>1633.0</v>
      </c>
      <c r="B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</row>
    <row r="354">
      <c r="A354" s="78">
        <v>1635.0</v>
      </c>
      <c r="B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</row>
    <row r="355">
      <c r="A355" s="76">
        <v>1639.0</v>
      </c>
      <c r="B355" s="74"/>
      <c r="C355" s="81" t="s">
        <v>270</v>
      </c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</row>
    <row r="356">
      <c r="A356" s="78">
        <v>1645.0</v>
      </c>
      <c r="B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</row>
    <row r="357">
      <c r="A357" s="76">
        <v>1647.0</v>
      </c>
      <c r="B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</row>
    <row r="358">
      <c r="A358" s="78">
        <v>1649.0</v>
      </c>
      <c r="B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</row>
    <row r="359">
      <c r="A359" s="76">
        <v>1651.0</v>
      </c>
      <c r="B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</row>
    <row r="360">
      <c r="A360" s="78">
        <v>1655.0</v>
      </c>
      <c r="B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</row>
    <row r="361">
      <c r="A361" s="76">
        <v>1657.0</v>
      </c>
      <c r="B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</row>
    <row r="362">
      <c r="A362" s="78">
        <v>1659.0</v>
      </c>
      <c r="B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</row>
    <row r="363">
      <c r="A363" s="76">
        <v>1663.0</v>
      </c>
      <c r="B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</row>
    <row r="364">
      <c r="A364" s="78">
        <v>1667.0</v>
      </c>
      <c r="B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</row>
    <row r="365">
      <c r="A365" s="76">
        <v>1673.0</v>
      </c>
      <c r="B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</row>
    <row r="366">
      <c r="A366" s="78">
        <v>1677.0</v>
      </c>
      <c r="B366" s="69"/>
      <c r="C366" s="86" t="s">
        <v>271</v>
      </c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</row>
    <row r="367">
      <c r="A367" s="76">
        <v>1681.0</v>
      </c>
      <c r="B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</row>
    <row r="368">
      <c r="A368" s="78">
        <v>1687.0</v>
      </c>
      <c r="B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</row>
    <row r="369">
      <c r="A369" s="76">
        <v>1691.0</v>
      </c>
      <c r="B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</row>
    <row r="370">
      <c r="A370" s="78">
        <v>1693.0</v>
      </c>
      <c r="B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</row>
    <row r="371">
      <c r="A371" s="76">
        <v>1695.0</v>
      </c>
      <c r="B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</row>
    <row r="372">
      <c r="A372" s="78">
        <v>1699.0</v>
      </c>
      <c r="B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</row>
    <row r="373">
      <c r="A373" s="76">
        <v>1705.0</v>
      </c>
      <c r="B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</row>
    <row r="374">
      <c r="A374" s="78">
        <v>1709.0</v>
      </c>
      <c r="B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</row>
    <row r="375">
      <c r="A375" s="76">
        <v>1711.0</v>
      </c>
      <c r="B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</row>
    <row r="376">
      <c r="A376" s="78">
        <v>1713.0</v>
      </c>
      <c r="B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</row>
    <row r="377">
      <c r="A377" s="76">
        <v>1717.0</v>
      </c>
      <c r="B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</row>
    <row r="378">
      <c r="A378" s="78">
        <v>1719.0</v>
      </c>
      <c r="B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</row>
    <row r="379">
      <c r="A379" s="76">
        <v>1723.0</v>
      </c>
      <c r="B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</row>
    <row r="380">
      <c r="A380" s="78">
        <v>1725.0</v>
      </c>
      <c r="B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</row>
    <row r="381">
      <c r="A381" s="76">
        <v>1727.0</v>
      </c>
      <c r="B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</row>
    <row r="382">
      <c r="A382" s="78">
        <v>1729.0</v>
      </c>
      <c r="B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</row>
    <row r="383">
      <c r="A383" s="76">
        <v>1733.0</v>
      </c>
      <c r="B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</row>
    <row r="384">
      <c r="A384" s="78">
        <v>1739.0</v>
      </c>
      <c r="B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</row>
    <row r="385">
      <c r="A385" s="76">
        <v>1741.0</v>
      </c>
      <c r="B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</row>
    <row r="386">
      <c r="A386" s="78">
        <v>1743.0</v>
      </c>
      <c r="B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</row>
    <row r="387">
      <c r="A387" s="76">
        <v>1745.0</v>
      </c>
      <c r="B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</row>
    <row r="388">
      <c r="A388" s="78">
        <v>1747.0</v>
      </c>
      <c r="B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</row>
    <row r="389">
      <c r="A389" s="76">
        <v>1753.0</v>
      </c>
      <c r="B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</row>
    <row r="390">
      <c r="A390" s="78">
        <v>1755.0</v>
      </c>
      <c r="B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</row>
    <row r="391">
      <c r="A391" s="76">
        <v>1757.0</v>
      </c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</row>
    <row r="392">
      <c r="A392" s="78">
        <v>1759.0</v>
      </c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</row>
    <row r="393">
      <c r="A393" s="76">
        <v>1761.0</v>
      </c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</row>
    <row r="394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</row>
    <row r="395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</row>
    <row r="39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</row>
    <row r="397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</row>
    <row r="398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</row>
    <row r="399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</row>
    <row r="400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</row>
    <row r="40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</row>
    <row r="402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</row>
    <row r="403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</row>
    <row r="404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</row>
    <row r="405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</row>
    <row r="40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</row>
    <row r="407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</row>
    <row r="408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</row>
    <row r="409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</row>
    <row r="410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</row>
    <row r="41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</row>
    <row r="412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</row>
    <row r="413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</row>
    <row r="414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</row>
    <row r="415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</row>
    <row r="416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</row>
    <row r="417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</row>
    <row r="418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</row>
    <row r="419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</row>
    <row r="420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</row>
    <row r="42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</row>
    <row r="422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</row>
    <row r="423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</row>
    <row r="424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</row>
    <row r="425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</row>
    <row r="426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</row>
    <row r="427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</row>
    <row r="428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</row>
    <row r="429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</row>
    <row r="430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</row>
    <row r="43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</row>
    <row r="432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</row>
    <row r="433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</row>
    <row r="434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</row>
    <row r="435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</row>
    <row r="436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</row>
    <row r="437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</row>
    <row r="438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</row>
    <row r="439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</row>
    <row r="440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</row>
    <row r="44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</row>
    <row r="442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</row>
    <row r="443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</row>
    <row r="444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</row>
    <row r="445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</row>
    <row r="446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</row>
    <row r="447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</row>
    <row r="448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</row>
    <row r="449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</row>
    <row r="450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</row>
    <row r="45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</row>
    <row r="452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</row>
    <row r="453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</row>
    <row r="454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</row>
    <row r="455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</row>
    <row r="456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</row>
    <row r="457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</row>
    <row r="458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</row>
    <row r="459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</row>
    <row r="460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</row>
    <row r="46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</row>
    <row r="462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</row>
    <row r="463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</row>
    <row r="464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</row>
    <row r="465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</row>
    <row r="466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</row>
    <row r="467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</row>
    <row r="468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</row>
    <row r="469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</row>
    <row r="470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</row>
    <row r="47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</row>
    <row r="472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</row>
    <row r="473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</row>
    <row r="474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</row>
    <row r="475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</row>
    <row r="476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</row>
    <row r="477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</row>
    <row r="478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</row>
    <row r="479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</row>
    <row r="480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</row>
    <row r="48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</row>
    <row r="482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</row>
    <row r="483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</row>
    <row r="484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</row>
    <row r="485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</row>
    <row r="486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</row>
    <row r="487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</row>
    <row r="488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</row>
    <row r="489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</row>
    <row r="490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</row>
    <row r="49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</row>
    <row r="492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</row>
    <row r="493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</row>
    <row r="494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</row>
    <row r="495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</row>
    <row r="496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</row>
    <row r="497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</row>
    <row r="498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</row>
    <row r="499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</row>
    <row r="500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</row>
    <row r="50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</row>
    <row r="502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</row>
    <row r="503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</row>
    <row r="504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</row>
    <row r="505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</row>
    <row r="506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</row>
    <row r="507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</row>
    <row r="508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</row>
    <row r="509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</row>
    <row r="510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</row>
    <row r="51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</row>
    <row r="512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</row>
    <row r="513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</row>
    <row r="514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</row>
    <row r="515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</row>
    <row r="516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</row>
    <row r="517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</row>
    <row r="518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</row>
    <row r="519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</row>
    <row r="520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</row>
    <row r="52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</row>
    <row r="522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</row>
    <row r="523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</row>
    <row r="524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</row>
    <row r="525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</row>
    <row r="526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</row>
    <row r="527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</row>
    <row r="528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</row>
    <row r="529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</row>
    <row r="530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</row>
    <row r="53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</row>
    <row r="532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</row>
    <row r="533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</row>
    <row r="534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</row>
    <row r="535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</row>
    <row r="536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</row>
    <row r="537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</row>
    <row r="538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</row>
    <row r="539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</row>
    <row r="540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</row>
    <row r="54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</row>
    <row r="542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</row>
    <row r="543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</row>
    <row r="544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</row>
    <row r="545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</row>
    <row r="546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</row>
    <row r="547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</row>
    <row r="548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</row>
    <row r="549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</row>
    <row r="550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</row>
    <row r="55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</row>
    <row r="552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</row>
    <row r="553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</row>
    <row r="554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</row>
    <row r="555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</row>
    <row r="556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</row>
    <row r="557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</row>
    <row r="558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</row>
    <row r="559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</row>
    <row r="560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</row>
    <row r="56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</row>
    <row r="562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</row>
    <row r="563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</row>
    <row r="564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</row>
    <row r="565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</row>
    <row r="566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</row>
    <row r="567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</row>
    <row r="568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</row>
    <row r="569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</row>
    <row r="570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</row>
    <row r="57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</row>
    <row r="572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</row>
    <row r="573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</row>
    <row r="574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</row>
    <row r="575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</row>
    <row r="576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</row>
    <row r="577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</row>
    <row r="578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</row>
    <row r="579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</row>
    <row r="580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</row>
    <row r="58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</row>
    <row r="582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</row>
    <row r="583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</row>
    <row r="584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</row>
    <row r="58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</row>
    <row r="586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</row>
    <row r="587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</row>
    <row r="588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</row>
    <row r="589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</row>
    <row r="590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</row>
    <row r="59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</row>
    <row r="592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</row>
    <row r="593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</row>
    <row r="594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</row>
    <row r="59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</row>
    <row r="596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</row>
    <row r="597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</row>
    <row r="598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</row>
    <row r="599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</row>
    <row r="600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</row>
    <row r="60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</row>
    <row r="602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</row>
    <row r="603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</row>
    <row r="604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</row>
    <row r="605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</row>
    <row r="606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</row>
    <row r="607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</row>
    <row r="608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</row>
    <row r="609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</row>
    <row r="610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</row>
    <row r="61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</row>
    <row r="612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</row>
    <row r="613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</row>
    <row r="614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</row>
    <row r="615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</row>
    <row r="616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</row>
    <row r="617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</row>
    <row r="618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</row>
    <row r="619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</row>
    <row r="620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</row>
    <row r="62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</row>
    <row r="622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</row>
    <row r="623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</row>
    <row r="624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</row>
    <row r="625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</row>
    <row r="626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</row>
    <row r="627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</row>
    <row r="628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</row>
    <row r="629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</row>
    <row r="630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</row>
    <row r="63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</row>
    <row r="632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</row>
    <row r="633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</row>
    <row r="634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</row>
    <row r="635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</row>
    <row r="636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</row>
    <row r="637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</row>
    <row r="638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</row>
    <row r="639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</row>
    <row r="640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</row>
    <row r="64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</row>
    <row r="642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</row>
    <row r="643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</row>
    <row r="644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</row>
    <row r="645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</row>
    <row r="646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</row>
    <row r="647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</row>
    <row r="648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</row>
    <row r="649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</row>
    <row r="650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</row>
    <row r="65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</row>
    <row r="652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</row>
    <row r="653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</row>
    <row r="654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</row>
    <row r="655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</row>
    <row r="656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</row>
    <row r="657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</row>
    <row r="658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</row>
    <row r="659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</row>
    <row r="660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</row>
    <row r="66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</row>
    <row r="662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</row>
    <row r="663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</row>
    <row r="664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</row>
    <row r="665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</row>
    <row r="666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</row>
    <row r="667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</row>
    <row r="668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</row>
    <row r="669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</row>
    <row r="670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</row>
    <row r="67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</row>
    <row r="672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</row>
    <row r="673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</row>
    <row r="674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</row>
    <row r="675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</row>
    <row r="676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</row>
    <row r="677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</row>
    <row r="678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</row>
    <row r="679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</row>
    <row r="680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</row>
    <row r="68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</row>
    <row r="682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</row>
    <row r="683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</row>
    <row r="684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</row>
    <row r="685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</row>
    <row r="686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</row>
    <row r="687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</row>
    <row r="688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</row>
    <row r="689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</row>
    <row r="690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</row>
    <row r="69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</row>
    <row r="692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</row>
    <row r="693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</row>
    <row r="694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</row>
    <row r="695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</row>
    <row r="696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</row>
    <row r="697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</row>
    <row r="698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</row>
    <row r="699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</row>
    <row r="700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</row>
    <row r="70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</row>
    <row r="702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</row>
    <row r="703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</row>
    <row r="704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</row>
    <row r="705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</row>
    <row r="706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</row>
    <row r="707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</row>
    <row r="708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</row>
    <row r="709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</row>
    <row r="710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</row>
    <row r="71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</row>
    <row r="712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</row>
    <row r="713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</row>
    <row r="714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</row>
    <row r="715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</row>
    <row r="716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</row>
    <row r="717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</row>
    <row r="718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</row>
    <row r="719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</row>
    <row r="720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</row>
    <row r="72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</row>
    <row r="722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</row>
    <row r="723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</row>
    <row r="724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</row>
    <row r="725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</row>
    <row r="726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</row>
    <row r="727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</row>
    <row r="728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</row>
    <row r="729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</row>
    <row r="730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</row>
    <row r="73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</row>
    <row r="732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</row>
    <row r="733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</row>
    <row r="734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</row>
    <row r="735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</row>
    <row r="736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</row>
    <row r="737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</row>
    <row r="738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</row>
    <row r="739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</row>
    <row r="740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</row>
    <row r="74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</row>
    <row r="742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</row>
    <row r="743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</row>
    <row r="744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</row>
    <row r="745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</row>
    <row r="746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</row>
    <row r="747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</row>
    <row r="748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</row>
    <row r="749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</row>
    <row r="750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</row>
    <row r="75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</row>
    <row r="752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</row>
    <row r="753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</row>
    <row r="754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</row>
    <row r="755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</row>
    <row r="756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</row>
    <row r="757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</row>
    <row r="758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</row>
    <row r="759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</row>
    <row r="760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</row>
    <row r="76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</row>
    <row r="762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</row>
    <row r="763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</row>
    <row r="764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</row>
    <row r="765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</row>
    <row r="766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</row>
    <row r="767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</row>
    <row r="768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</row>
    <row r="769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</row>
    <row r="770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</row>
    <row r="77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</row>
    <row r="772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</row>
    <row r="773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</row>
    <row r="774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</row>
    <row r="775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</row>
    <row r="776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</row>
    <row r="777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</row>
    <row r="778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</row>
    <row r="779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</row>
    <row r="780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</row>
    <row r="78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</row>
    <row r="782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</row>
    <row r="783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</row>
    <row r="784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</row>
    <row r="785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</row>
    <row r="786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</row>
    <row r="787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</row>
    <row r="788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</row>
    <row r="789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</row>
    <row r="790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</row>
    <row r="79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</row>
    <row r="792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</row>
    <row r="793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</row>
    <row r="794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</row>
    <row r="795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</row>
    <row r="796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</row>
    <row r="797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</row>
    <row r="798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</row>
    <row r="799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</row>
    <row r="800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</row>
    <row r="80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</row>
    <row r="802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</row>
    <row r="803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</row>
    <row r="804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</row>
    <row r="805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</row>
    <row r="806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</row>
    <row r="807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</row>
    <row r="808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</row>
    <row r="809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</row>
    <row r="810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</row>
    <row r="81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</row>
    <row r="812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</row>
    <row r="813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</row>
    <row r="814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</row>
    <row r="815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</row>
    <row r="816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</row>
    <row r="817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</row>
    <row r="818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</row>
    <row r="819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</row>
    <row r="820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</row>
    <row r="82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</row>
    <row r="822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</row>
    <row r="823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</row>
    <row r="824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</row>
    <row r="825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</row>
    <row r="826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</row>
    <row r="827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</row>
    <row r="828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</row>
    <row r="829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</row>
    <row r="830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</row>
    <row r="83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</row>
    <row r="832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</row>
    <row r="833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</row>
    <row r="834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</row>
    <row r="835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</row>
    <row r="83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</row>
    <row r="837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</row>
    <row r="838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</row>
    <row r="839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</row>
    <row r="840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</row>
    <row r="84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</row>
    <row r="842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</row>
    <row r="843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</row>
    <row r="844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</row>
    <row r="845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</row>
    <row r="84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</row>
    <row r="847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</row>
    <row r="848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</row>
    <row r="849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</row>
    <row r="850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</row>
    <row r="85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</row>
    <row r="852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</row>
    <row r="853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</row>
    <row r="854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</row>
    <row r="855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</row>
    <row r="85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</row>
    <row r="857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</row>
    <row r="858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</row>
    <row r="859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</row>
    <row r="860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</row>
    <row r="86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</row>
    <row r="862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</row>
    <row r="863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</row>
    <row r="864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</row>
    <row r="865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</row>
    <row r="86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</row>
    <row r="867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</row>
    <row r="868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</row>
    <row r="869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</row>
    <row r="870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</row>
    <row r="87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</row>
    <row r="872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</row>
    <row r="873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</row>
    <row r="874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</row>
    <row r="875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</row>
    <row r="876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</row>
    <row r="877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</row>
    <row r="878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</row>
    <row r="879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</row>
    <row r="880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</row>
    <row r="88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</row>
    <row r="882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</row>
    <row r="883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</row>
    <row r="884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</row>
    <row r="885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</row>
    <row r="886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</row>
    <row r="887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</row>
    <row r="888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</row>
    <row r="889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</row>
    <row r="890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</row>
    <row r="89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</row>
    <row r="892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</row>
    <row r="893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</row>
    <row r="894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</row>
    <row r="895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</row>
    <row r="896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</row>
    <row r="897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</row>
    <row r="898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</row>
    <row r="899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</row>
    <row r="900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</row>
    <row r="90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</row>
    <row r="902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</row>
    <row r="903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</row>
    <row r="904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</row>
    <row r="905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</row>
    <row r="906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</row>
    <row r="907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</row>
    <row r="908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</row>
    <row r="909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</row>
    <row r="910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</row>
    <row r="91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</row>
    <row r="912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</row>
    <row r="913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</row>
    <row r="914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</row>
    <row r="915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</row>
    <row r="91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</row>
    <row r="917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</row>
    <row r="918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</row>
    <row r="919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</row>
    <row r="920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</row>
    <row r="92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</row>
    <row r="922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</row>
    <row r="923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</row>
    <row r="924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</row>
    <row r="925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</row>
    <row r="9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</row>
    <row r="927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</row>
    <row r="928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</row>
    <row r="929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</row>
    <row r="930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</row>
    <row r="93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</row>
    <row r="932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</row>
    <row r="933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</row>
    <row r="934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</row>
    <row r="935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</row>
    <row r="936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</row>
    <row r="937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</row>
    <row r="938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</row>
    <row r="939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</row>
    <row r="940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</row>
    <row r="94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</row>
    <row r="942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</row>
    <row r="943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</row>
    <row r="944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</row>
    <row r="945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</row>
    <row r="946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</row>
    <row r="947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</row>
    <row r="948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</row>
    <row r="949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</row>
    <row r="950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</row>
    <row r="95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</row>
    <row r="952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</row>
    <row r="953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</row>
    <row r="954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</row>
    <row r="955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</row>
    <row r="956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</row>
    <row r="957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</row>
    <row r="958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</row>
    <row r="959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</row>
    <row r="960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</row>
    <row r="96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</row>
    <row r="962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</row>
    <row r="963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</row>
    <row r="964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</row>
    <row r="965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</row>
    <row r="966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</row>
    <row r="967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</row>
    <row r="968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</row>
    <row r="969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</row>
    <row r="970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</row>
    <row r="97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</row>
    <row r="972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</row>
    <row r="973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</row>
    <row r="974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</row>
    <row r="975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</row>
    <row r="976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</row>
    <row r="977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</row>
    <row r="978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</row>
    <row r="979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</row>
    <row r="980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</row>
    <row r="98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</row>
    <row r="982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</row>
    <row r="983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</row>
    <row r="984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</row>
    <row r="985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</row>
    <row r="986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</row>
    <row r="987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</row>
    <row r="988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</row>
    <row r="989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</row>
    <row r="990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</row>
    <row r="99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</row>
    <row r="992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</row>
    <row r="993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</row>
    <row r="994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</row>
    <row r="995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</row>
    <row r="996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</row>
    <row r="997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</row>
    <row r="998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</row>
    <row r="999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</row>
    <row r="1000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</row>
    <row r="1001">
      <c r="A1001" s="74"/>
      <c r="B1001" s="74"/>
      <c r="C1001" s="74"/>
      <c r="D1001" s="74"/>
      <c r="E1001" s="74"/>
      <c r="F1001" s="74"/>
      <c r="G1001" s="74"/>
      <c r="H1001" s="74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  <c r="U1001" s="74"/>
    </row>
    <row r="1002">
      <c r="A1002" s="69"/>
      <c r="B1002" s="69"/>
      <c r="C1002" s="69"/>
      <c r="D1002" s="69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69"/>
      <c r="Q1002" s="69"/>
      <c r="R1002" s="69"/>
      <c r="S1002" s="69"/>
      <c r="T1002" s="69"/>
      <c r="U1002" s="69"/>
    </row>
    <row r="1003">
      <c r="A1003" s="74"/>
      <c r="B1003" s="74"/>
      <c r="C1003" s="74"/>
      <c r="D1003" s="74"/>
      <c r="E1003" s="74"/>
      <c r="F1003" s="74"/>
      <c r="G1003" s="74"/>
      <c r="H1003" s="74"/>
      <c r="I1003" s="74"/>
      <c r="J1003" s="74"/>
      <c r="K1003" s="74"/>
      <c r="L1003" s="74"/>
      <c r="M1003" s="74"/>
      <c r="N1003" s="74"/>
      <c r="O1003" s="74"/>
      <c r="P1003" s="74"/>
      <c r="Q1003" s="74"/>
      <c r="R1003" s="74"/>
      <c r="S1003" s="74"/>
      <c r="T1003" s="74"/>
      <c r="U1003" s="74"/>
    </row>
    <row r="1004">
      <c r="A1004" s="69"/>
      <c r="B1004" s="69"/>
      <c r="C1004" s="69"/>
      <c r="D1004" s="69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  <c r="O1004" s="69"/>
      <c r="P1004" s="69"/>
      <c r="Q1004" s="69"/>
      <c r="R1004" s="69"/>
      <c r="S1004" s="69"/>
      <c r="T1004" s="69"/>
      <c r="U1004" s="69"/>
    </row>
    <row r="1005">
      <c r="A1005" s="74"/>
      <c r="B1005" s="74"/>
      <c r="C1005" s="74"/>
      <c r="D1005" s="74"/>
      <c r="E1005" s="74"/>
      <c r="F1005" s="74"/>
      <c r="G1005" s="74"/>
      <c r="H1005" s="74"/>
      <c r="I1005" s="74"/>
      <c r="J1005" s="74"/>
      <c r="K1005" s="74"/>
      <c r="L1005" s="74"/>
      <c r="M1005" s="74"/>
      <c r="N1005" s="74"/>
      <c r="O1005" s="74"/>
      <c r="P1005" s="74"/>
      <c r="Q1005" s="74"/>
      <c r="R1005" s="74"/>
      <c r="S1005" s="74"/>
      <c r="T1005" s="74"/>
      <c r="U1005" s="74"/>
    </row>
    <row r="1006">
      <c r="A1006" s="69"/>
      <c r="B1006" s="69"/>
      <c r="C1006" s="69"/>
      <c r="D1006" s="69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  <c r="O1006" s="69"/>
      <c r="P1006" s="69"/>
      <c r="Q1006" s="69"/>
      <c r="R1006" s="69"/>
      <c r="S1006" s="69"/>
      <c r="T1006" s="69"/>
      <c r="U1006" s="69"/>
    </row>
    <row r="1007">
      <c r="A1007" s="74"/>
      <c r="B1007" s="74"/>
      <c r="C1007" s="74"/>
      <c r="D1007" s="74"/>
      <c r="E1007" s="74"/>
      <c r="F1007" s="74"/>
      <c r="G1007" s="74"/>
      <c r="H1007" s="74"/>
      <c r="I1007" s="74"/>
      <c r="J1007" s="74"/>
      <c r="K1007" s="74"/>
      <c r="L1007" s="74"/>
      <c r="M1007" s="74"/>
      <c r="N1007" s="74"/>
      <c r="O1007" s="74"/>
      <c r="P1007" s="74"/>
      <c r="Q1007" s="74"/>
      <c r="R1007" s="74"/>
      <c r="S1007" s="74"/>
      <c r="T1007" s="74"/>
      <c r="U1007" s="74"/>
    </row>
  </sheetData>
  <mergeCells count="29">
    <mergeCell ref="A2:D2"/>
    <mergeCell ref="C3:C8"/>
    <mergeCell ref="C9:C15"/>
    <mergeCell ref="C16:C27"/>
    <mergeCell ref="C28:C52"/>
    <mergeCell ref="C53:C69"/>
    <mergeCell ref="C70:C88"/>
    <mergeCell ref="C89:C105"/>
    <mergeCell ref="C106:C122"/>
    <mergeCell ref="A123:D123"/>
    <mergeCell ref="C124:C138"/>
    <mergeCell ref="C139:C146"/>
    <mergeCell ref="C147:C159"/>
    <mergeCell ref="C160:C167"/>
    <mergeCell ref="C273:C281"/>
    <mergeCell ref="A282:D282"/>
    <mergeCell ref="C283:C300"/>
    <mergeCell ref="C301:C316"/>
    <mergeCell ref="C317:C334"/>
    <mergeCell ref="C335:C354"/>
    <mergeCell ref="C355:C365"/>
    <mergeCell ref="C366:C390"/>
    <mergeCell ref="C168:C186"/>
    <mergeCell ref="C187:C203"/>
    <mergeCell ref="C204:C226"/>
    <mergeCell ref="C227:C237"/>
    <mergeCell ref="C238:C250"/>
    <mergeCell ref="C251:C267"/>
    <mergeCell ref="C268:C272"/>
  </mergeCells>
  <conditionalFormatting sqref="D15:E20">
    <cfRule type="expression" dxfId="6" priority="1">
      <formula>MOD(ROW(F18)-1,2)&lt;1</formula>
    </cfRule>
  </conditionalFormatting>
  <conditionalFormatting sqref="D14:E14">
    <cfRule type="expression" dxfId="6" priority="2">
      <formula>MOD(ROW(F17)-1,2)&lt;1</formula>
    </cfRule>
  </conditionalFormatting>
  <conditionalFormatting sqref="D13:E13">
    <cfRule type="expression" dxfId="6" priority="3">
      <formula>MOD(ROW(F16)-1,2)&lt;1</formula>
    </cfRule>
  </conditionalFormatting>
  <conditionalFormatting sqref="D12:E12">
    <cfRule type="expression" dxfId="6" priority="4">
      <formula>MOD(ROW(F15)-1,2)&lt;1</formula>
    </cfRule>
  </conditionalFormatting>
  <conditionalFormatting sqref="D11:E11">
    <cfRule type="expression" dxfId="6" priority="5">
      <formula>MOD(ROW(F14)-1,2)&lt;1</formula>
    </cfRule>
  </conditionalFormatting>
  <conditionalFormatting sqref="D10:E10">
    <cfRule type="expression" dxfId="6" priority="6">
      <formula>MOD(ROW(F13)-1,2)&lt;1</formula>
    </cfRule>
  </conditionalFormatting>
  <conditionalFormatting sqref="D9:E9">
    <cfRule type="expression" dxfId="6" priority="7">
      <formula>MOD(ROW(F12)-1,2)&lt;1</formula>
    </cfRule>
  </conditionalFormatting>
  <conditionalFormatting sqref="D8:E8">
    <cfRule type="expression" dxfId="6" priority="8">
      <formula>MOD(ROW(F11)-1,2)&lt;1</formula>
    </cfRule>
  </conditionalFormatting>
  <conditionalFormatting sqref="D7:E7">
    <cfRule type="expression" dxfId="6" priority="9">
      <formula>MOD(ROW(F10)-1,2)&lt;1</formula>
    </cfRule>
  </conditionalFormatting>
  <conditionalFormatting sqref="D6:E6">
    <cfRule type="expression" dxfId="6" priority="10">
      <formula>MOD(ROW(F9)-1,2)&lt;1</formula>
    </cfRule>
  </conditionalFormatting>
  <conditionalFormatting sqref="D5:E5">
    <cfRule type="expression" dxfId="6" priority="11">
      <formula>MOD(ROW(F8)-1,2)&lt;1</formula>
    </cfRule>
  </conditionalFormatting>
  <conditionalFormatting sqref="D4:E4">
    <cfRule type="expression" dxfId="6" priority="12">
      <formula>MOD(ROW(F7)-1,2)&lt;1</formula>
    </cfRule>
  </conditionalFormatting>
  <conditionalFormatting sqref="A4:B8 F4:U101 A9:C101 D21:E101">
    <cfRule type="expression" dxfId="6" priority="13">
      <formula>MOD(ROW(F7)-1,2)&lt;1</formula>
    </cfRule>
  </conditionalFormatting>
  <conditionalFormatting sqref="A103">
    <cfRule type="colorScale" priority="14">
      <colorScale>
        <cfvo type="min"/>
        <cfvo type="max"/>
        <color rgb="FF57BB8A"/>
        <color rgb="FFFFFFFF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6.0"/>
    <col customWidth="1" min="2" max="2" width="23.0"/>
    <col customWidth="1" min="3" max="3" width="15.38"/>
    <col customWidth="1" min="4" max="4" width="13.75"/>
    <col customWidth="1" min="5" max="5" width="16.75"/>
    <col customWidth="1" min="6" max="6" width="14.0"/>
    <col customWidth="1" min="7" max="7" width="13.38"/>
    <col customWidth="1" min="8" max="8" width="10.75"/>
    <col customWidth="1" min="9" max="9" width="9.88"/>
    <col customWidth="1" min="10" max="10" width="12.0"/>
    <col customWidth="1" min="11" max="11" width="13.13"/>
    <col customWidth="1" min="12" max="12" width="17.38"/>
    <col customWidth="1" min="13" max="13" width="15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>
      <c r="A2" s="5">
        <v>467.0</v>
      </c>
      <c r="B2" s="6" t="s">
        <v>39</v>
      </c>
      <c r="C2" s="6" t="s">
        <v>39</v>
      </c>
      <c r="D2" s="7" t="s">
        <v>14</v>
      </c>
      <c r="E2" s="7"/>
      <c r="F2" s="8" t="s">
        <v>15</v>
      </c>
      <c r="G2" s="9">
        <v>43956.0</v>
      </c>
      <c r="H2" s="6" t="s">
        <v>39</v>
      </c>
      <c r="I2" s="6" t="s">
        <v>39</v>
      </c>
      <c r="J2" s="6" t="s">
        <v>18</v>
      </c>
      <c r="K2" s="10"/>
      <c r="L2" s="10"/>
      <c r="M2" s="10"/>
    </row>
    <row r="3">
      <c r="A3" s="5">
        <v>471.0</v>
      </c>
      <c r="B3" s="6" t="s">
        <v>39</v>
      </c>
      <c r="C3" s="6" t="s">
        <v>39</v>
      </c>
      <c r="D3" s="7" t="s">
        <v>14</v>
      </c>
      <c r="E3" s="7"/>
      <c r="F3" s="8" t="s">
        <v>15</v>
      </c>
      <c r="G3" s="9">
        <v>43956.0</v>
      </c>
      <c r="H3" s="6" t="s">
        <v>39</v>
      </c>
      <c r="I3" s="6" t="s">
        <v>39</v>
      </c>
      <c r="J3" s="6" t="s">
        <v>21</v>
      </c>
      <c r="K3" s="10">
        <v>8.1</v>
      </c>
      <c r="L3" s="10"/>
      <c r="M3" s="10"/>
    </row>
    <row r="4">
      <c r="A4" s="5">
        <v>473.0</v>
      </c>
      <c r="B4" s="6" t="s">
        <v>39</v>
      </c>
      <c r="C4" s="6" t="s">
        <v>39</v>
      </c>
      <c r="D4" s="7" t="s">
        <v>14</v>
      </c>
      <c r="E4" s="7"/>
      <c r="F4" s="8" t="s">
        <v>15</v>
      </c>
      <c r="G4" s="9">
        <v>43956.0</v>
      </c>
      <c r="H4" s="6" t="s">
        <v>39</v>
      </c>
      <c r="I4" s="6" t="s">
        <v>39</v>
      </c>
      <c r="J4" s="6" t="s">
        <v>21</v>
      </c>
      <c r="K4" s="10">
        <v>8.1</v>
      </c>
      <c r="L4" s="10"/>
      <c r="M4" s="10"/>
    </row>
    <row r="5">
      <c r="A5" s="5">
        <v>479.0</v>
      </c>
      <c r="B5" s="6" t="s">
        <v>39</v>
      </c>
      <c r="C5" s="6" t="s">
        <v>39</v>
      </c>
      <c r="D5" s="7" t="s">
        <v>14</v>
      </c>
      <c r="E5" s="7"/>
      <c r="F5" s="8" t="s">
        <v>15</v>
      </c>
      <c r="G5" s="9">
        <v>43957.0</v>
      </c>
      <c r="H5" s="6" t="s">
        <v>39</v>
      </c>
      <c r="I5" s="6" t="s">
        <v>39</v>
      </c>
      <c r="J5" s="6" t="s">
        <v>21</v>
      </c>
      <c r="K5" s="10">
        <v>8.1</v>
      </c>
      <c r="L5" s="10"/>
      <c r="M5" s="10"/>
    </row>
    <row r="6">
      <c r="A6" s="5">
        <v>481.0</v>
      </c>
      <c r="B6" s="6" t="s">
        <v>39</v>
      </c>
      <c r="C6" s="6" t="s">
        <v>39</v>
      </c>
      <c r="D6" s="7" t="s">
        <v>14</v>
      </c>
      <c r="E6" s="7"/>
      <c r="F6" s="8" t="s">
        <v>15</v>
      </c>
      <c r="G6" s="9">
        <v>43957.0</v>
      </c>
      <c r="H6" s="6" t="s">
        <v>39</v>
      </c>
      <c r="I6" s="6" t="s">
        <v>39</v>
      </c>
      <c r="J6" s="6" t="s">
        <v>21</v>
      </c>
      <c r="K6" s="10">
        <v>8.1</v>
      </c>
      <c r="L6" s="10"/>
      <c r="M6" s="10"/>
    </row>
    <row r="7">
      <c r="A7" s="5">
        <v>487.0</v>
      </c>
      <c r="B7" s="6" t="s">
        <v>39</v>
      </c>
      <c r="C7" s="6" t="s">
        <v>39</v>
      </c>
      <c r="D7" s="7" t="s">
        <v>14</v>
      </c>
      <c r="E7" s="7"/>
      <c r="F7" s="8" t="s">
        <v>15</v>
      </c>
      <c r="G7" s="9">
        <v>43959.0</v>
      </c>
      <c r="H7" s="6" t="s">
        <v>39</v>
      </c>
      <c r="I7" s="6" t="s">
        <v>39</v>
      </c>
      <c r="J7" s="6" t="s">
        <v>21</v>
      </c>
      <c r="K7" s="10">
        <v>8.1</v>
      </c>
      <c r="L7" s="10"/>
      <c r="M7" s="10"/>
    </row>
    <row r="8">
      <c r="A8" s="5">
        <v>489.0</v>
      </c>
      <c r="B8" s="6" t="s">
        <v>39</v>
      </c>
      <c r="C8" s="6" t="s">
        <v>39</v>
      </c>
      <c r="D8" s="7" t="s">
        <v>14</v>
      </c>
      <c r="E8" s="7"/>
      <c r="F8" s="8" t="s">
        <v>15</v>
      </c>
      <c r="G8" s="9">
        <v>43959.0</v>
      </c>
      <c r="H8" s="6" t="s">
        <v>39</v>
      </c>
      <c r="I8" s="6" t="s">
        <v>39</v>
      </c>
      <c r="J8" s="6" t="s">
        <v>21</v>
      </c>
      <c r="K8" s="10">
        <v>8.1</v>
      </c>
      <c r="L8" s="10"/>
      <c r="M8" s="10"/>
    </row>
    <row r="9">
      <c r="A9" s="5">
        <v>491.0</v>
      </c>
      <c r="B9" s="6" t="s">
        <v>39</v>
      </c>
      <c r="C9" s="6" t="s">
        <v>39</v>
      </c>
      <c r="D9" s="7" t="s">
        <v>14</v>
      </c>
      <c r="E9" s="7"/>
      <c r="F9" s="8" t="s">
        <v>15</v>
      </c>
      <c r="G9" s="9">
        <v>43959.0</v>
      </c>
      <c r="H9" s="6" t="s">
        <v>39</v>
      </c>
      <c r="I9" s="6" t="s">
        <v>39</v>
      </c>
      <c r="J9" s="6" t="s">
        <v>18</v>
      </c>
      <c r="K9" s="10"/>
      <c r="L9" s="10"/>
      <c r="M9" s="10"/>
    </row>
    <row r="10">
      <c r="A10" s="5">
        <v>565.0</v>
      </c>
      <c r="B10" s="6" t="s">
        <v>39</v>
      </c>
      <c r="C10" s="6" t="s">
        <v>39</v>
      </c>
      <c r="D10" s="5" t="s">
        <v>35</v>
      </c>
      <c r="E10" s="5"/>
      <c r="F10" s="5"/>
      <c r="G10" s="9">
        <v>44036.0</v>
      </c>
      <c r="H10" s="6" t="s">
        <v>39</v>
      </c>
      <c r="I10" s="6" t="s">
        <v>39</v>
      </c>
      <c r="J10" s="11" t="s">
        <v>21</v>
      </c>
      <c r="K10" s="11">
        <v>7.1</v>
      </c>
      <c r="L10" s="11"/>
      <c r="M10" s="11"/>
    </row>
    <row r="11">
      <c r="A11" s="5">
        <v>577.0</v>
      </c>
      <c r="B11" s="6" t="s">
        <v>39</v>
      </c>
      <c r="C11" s="6" t="s">
        <v>39</v>
      </c>
      <c r="D11" s="5" t="s">
        <v>35</v>
      </c>
      <c r="E11" s="5"/>
      <c r="F11" s="5"/>
      <c r="G11" s="9">
        <v>44047.0</v>
      </c>
      <c r="H11" s="6" t="s">
        <v>39</v>
      </c>
      <c r="I11" s="6" t="s">
        <v>39</v>
      </c>
      <c r="J11" s="6" t="s">
        <v>208</v>
      </c>
      <c r="K11" s="6" t="s">
        <v>41</v>
      </c>
      <c r="L11" s="6"/>
      <c r="M11" s="6"/>
    </row>
    <row r="12">
      <c r="A12" s="5">
        <v>627.0</v>
      </c>
      <c r="B12" s="6" t="s">
        <v>39</v>
      </c>
      <c r="C12" s="6" t="s">
        <v>39</v>
      </c>
      <c r="D12" s="5" t="s">
        <v>35</v>
      </c>
      <c r="E12" s="5"/>
      <c r="F12" s="5"/>
      <c r="G12" s="9">
        <v>44067.0</v>
      </c>
      <c r="H12" s="6" t="s">
        <v>39</v>
      </c>
      <c r="I12" s="6" t="s">
        <v>39</v>
      </c>
      <c r="J12" s="6" t="s">
        <v>208</v>
      </c>
      <c r="K12" s="6" t="s">
        <v>41</v>
      </c>
      <c r="L12" s="6"/>
      <c r="M12" s="6"/>
    </row>
    <row r="13">
      <c r="A13" s="5">
        <v>647.0</v>
      </c>
      <c r="B13" s="6" t="s">
        <v>39</v>
      </c>
      <c r="C13" s="6" t="s">
        <v>39</v>
      </c>
      <c r="D13" s="5" t="s">
        <v>35</v>
      </c>
      <c r="E13" s="5"/>
      <c r="F13" s="5"/>
      <c r="G13" s="9">
        <v>44073.0</v>
      </c>
      <c r="H13" s="6" t="s">
        <v>39</v>
      </c>
      <c r="I13" s="6" t="s">
        <v>39</v>
      </c>
      <c r="J13" s="6" t="s">
        <v>18</v>
      </c>
      <c r="K13" s="13"/>
      <c r="L13" s="13"/>
      <c r="M13" s="13"/>
    </row>
    <row r="14">
      <c r="A14" s="5">
        <v>653.0</v>
      </c>
      <c r="B14" s="6" t="s">
        <v>39</v>
      </c>
      <c r="C14" s="6" t="s">
        <v>39</v>
      </c>
      <c r="D14" s="5" t="s">
        <v>35</v>
      </c>
      <c r="E14" s="5"/>
      <c r="F14" s="5"/>
      <c r="G14" s="9">
        <v>44075.0</v>
      </c>
      <c r="H14" s="6" t="s">
        <v>39</v>
      </c>
      <c r="I14" s="6" t="s">
        <v>39</v>
      </c>
      <c r="J14" s="6" t="s">
        <v>21</v>
      </c>
      <c r="K14" s="11">
        <v>7.1</v>
      </c>
      <c r="L14" s="11"/>
      <c r="M14" s="11"/>
    </row>
    <row r="15">
      <c r="A15" s="5">
        <v>655.0</v>
      </c>
      <c r="B15" s="6" t="s">
        <v>39</v>
      </c>
      <c r="C15" s="6" t="s">
        <v>39</v>
      </c>
      <c r="D15" s="5" t="s">
        <v>35</v>
      </c>
      <c r="E15" s="5"/>
      <c r="F15" s="5"/>
      <c r="G15" s="9">
        <v>44077.0</v>
      </c>
      <c r="H15" s="6" t="s">
        <v>39</v>
      </c>
      <c r="I15" s="6" t="s">
        <v>39</v>
      </c>
      <c r="J15" s="6" t="s">
        <v>21</v>
      </c>
      <c r="K15" s="11">
        <v>7.1</v>
      </c>
      <c r="L15" s="11"/>
      <c r="M15" s="11"/>
    </row>
    <row r="16">
      <c r="A16" s="5">
        <v>697.0</v>
      </c>
      <c r="B16" s="6" t="s">
        <v>39</v>
      </c>
      <c r="C16" s="6" t="s">
        <v>39</v>
      </c>
      <c r="D16" s="5" t="s">
        <v>35</v>
      </c>
      <c r="E16" s="5"/>
      <c r="F16" s="5"/>
      <c r="G16" s="9">
        <v>44098.0</v>
      </c>
      <c r="H16" s="6" t="s">
        <v>39</v>
      </c>
      <c r="I16" s="6" t="s">
        <v>39</v>
      </c>
      <c r="J16" s="6" t="s">
        <v>18</v>
      </c>
      <c r="K16" s="10" t="s">
        <v>55</v>
      </c>
      <c r="L16" s="10"/>
      <c r="M16" s="10"/>
    </row>
    <row r="17">
      <c r="A17" s="5">
        <v>719.0</v>
      </c>
      <c r="B17" s="6" t="s">
        <v>39</v>
      </c>
      <c r="C17" s="6" t="s">
        <v>39</v>
      </c>
      <c r="D17" s="5" t="s">
        <v>35</v>
      </c>
      <c r="E17" s="5"/>
      <c r="F17" s="5"/>
      <c r="G17" s="9">
        <v>44109.0</v>
      </c>
      <c r="H17" s="6" t="s">
        <v>39</v>
      </c>
      <c r="I17" s="6" t="s">
        <v>39</v>
      </c>
      <c r="J17" s="6" t="s">
        <v>21</v>
      </c>
      <c r="K17" s="10">
        <v>7.2</v>
      </c>
      <c r="L17" s="10"/>
      <c r="M17" s="10"/>
    </row>
    <row r="18">
      <c r="A18" s="5">
        <v>727.0</v>
      </c>
      <c r="B18" s="6" t="s">
        <v>39</v>
      </c>
      <c r="C18" s="6" t="s">
        <v>39</v>
      </c>
      <c r="D18" s="5"/>
      <c r="E18" s="5"/>
      <c r="F18" s="5"/>
      <c r="G18" s="9">
        <v>44115.0</v>
      </c>
      <c r="H18" s="6" t="s">
        <v>39</v>
      </c>
      <c r="I18" s="6" t="s">
        <v>39</v>
      </c>
      <c r="J18" s="5"/>
      <c r="K18" s="10" t="s">
        <v>61</v>
      </c>
      <c r="L18" s="10"/>
      <c r="M18" s="10"/>
    </row>
    <row r="19">
      <c r="A19" s="5">
        <v>733.0</v>
      </c>
      <c r="B19" s="6" t="s">
        <v>39</v>
      </c>
      <c r="C19" s="6" t="s">
        <v>39</v>
      </c>
      <c r="D19" s="5" t="s">
        <v>35</v>
      </c>
      <c r="E19" s="5"/>
      <c r="F19" s="5"/>
      <c r="G19" s="9">
        <v>44121.0</v>
      </c>
      <c r="H19" s="6" t="s">
        <v>39</v>
      </c>
      <c r="I19" s="6" t="s">
        <v>39</v>
      </c>
      <c r="J19" s="6" t="s">
        <v>18</v>
      </c>
      <c r="K19" s="13"/>
      <c r="L19" s="13"/>
      <c r="M19" s="13"/>
    </row>
    <row r="20">
      <c r="A20" s="5">
        <v>735.0</v>
      </c>
      <c r="B20" s="6" t="s">
        <v>39</v>
      </c>
      <c r="C20" s="6" t="s">
        <v>39</v>
      </c>
      <c r="D20" s="5" t="s">
        <v>35</v>
      </c>
      <c r="E20" s="5"/>
      <c r="F20" s="5"/>
      <c r="G20" s="9">
        <v>44124.0</v>
      </c>
      <c r="H20" s="6" t="s">
        <v>39</v>
      </c>
      <c r="I20" s="6" t="s">
        <v>39</v>
      </c>
      <c r="J20" s="6" t="s">
        <v>18</v>
      </c>
      <c r="K20" s="13"/>
      <c r="L20" s="13"/>
      <c r="M20" s="13"/>
    </row>
    <row r="21">
      <c r="A21" s="5">
        <v>769.0</v>
      </c>
      <c r="B21" s="6" t="s">
        <v>39</v>
      </c>
      <c r="C21" s="6" t="s">
        <v>39</v>
      </c>
      <c r="D21" s="5" t="s">
        <v>35</v>
      </c>
      <c r="E21" s="5"/>
      <c r="F21" s="5"/>
      <c r="G21" s="9">
        <v>44141.0</v>
      </c>
      <c r="H21" s="6" t="s">
        <v>39</v>
      </c>
      <c r="I21" s="6" t="s">
        <v>39</v>
      </c>
      <c r="J21" s="6" t="s">
        <v>21</v>
      </c>
      <c r="K21" s="10">
        <v>7.2</v>
      </c>
      <c r="L21" s="10"/>
      <c r="M21" s="10"/>
    </row>
    <row r="22">
      <c r="A22" s="5">
        <v>777.0</v>
      </c>
      <c r="B22" s="6" t="s">
        <v>39</v>
      </c>
      <c r="C22" s="6" t="s">
        <v>39</v>
      </c>
      <c r="D22" s="11" t="s">
        <v>35</v>
      </c>
      <c r="E22" s="11"/>
      <c r="F22" s="11"/>
      <c r="G22" s="14">
        <v>44148.0</v>
      </c>
      <c r="H22" s="6" t="s">
        <v>39</v>
      </c>
      <c r="I22" s="6" t="s">
        <v>39</v>
      </c>
      <c r="J22" s="6" t="s">
        <v>21</v>
      </c>
      <c r="K22" s="11">
        <v>7.1</v>
      </c>
      <c r="L22" s="11"/>
      <c r="M22" s="11"/>
    </row>
    <row r="23">
      <c r="A23" s="5">
        <v>795.0</v>
      </c>
      <c r="B23" s="6" t="s">
        <v>39</v>
      </c>
      <c r="C23" s="6" t="s">
        <v>39</v>
      </c>
      <c r="D23" s="5" t="s">
        <v>35</v>
      </c>
      <c r="E23" s="5"/>
      <c r="F23" s="5"/>
      <c r="G23" s="9">
        <v>44536.0</v>
      </c>
      <c r="H23" s="6" t="s">
        <v>39</v>
      </c>
      <c r="I23" s="6" t="s">
        <v>39</v>
      </c>
      <c r="J23" s="6" t="s">
        <v>21</v>
      </c>
      <c r="K23" s="10">
        <v>8.1</v>
      </c>
      <c r="L23" s="10"/>
      <c r="M23" s="10"/>
    </row>
    <row r="24">
      <c r="A24" s="5">
        <v>799.0</v>
      </c>
      <c r="B24" s="6" t="s">
        <v>39</v>
      </c>
      <c r="C24" s="6" t="s">
        <v>39</v>
      </c>
      <c r="D24" s="5" t="s">
        <v>35</v>
      </c>
      <c r="E24" s="5"/>
      <c r="F24" s="5"/>
      <c r="G24" s="9">
        <v>44524.0</v>
      </c>
      <c r="H24" s="6" t="s">
        <v>39</v>
      </c>
      <c r="I24" s="6" t="s">
        <v>39</v>
      </c>
      <c r="J24" s="6" t="s">
        <v>18</v>
      </c>
      <c r="K24" s="13"/>
      <c r="L24" s="13"/>
      <c r="M24" s="13"/>
    </row>
    <row r="25">
      <c r="A25" s="5">
        <v>805.0</v>
      </c>
      <c r="B25" s="6" t="s">
        <v>39</v>
      </c>
      <c r="C25" s="6" t="s">
        <v>39</v>
      </c>
      <c r="D25" s="5" t="s">
        <v>35</v>
      </c>
      <c r="E25" s="5"/>
      <c r="F25" s="5"/>
      <c r="G25" s="9">
        <v>44162.0</v>
      </c>
      <c r="H25" s="6" t="s">
        <v>39</v>
      </c>
      <c r="I25" s="6" t="s">
        <v>39</v>
      </c>
      <c r="J25" s="6" t="s">
        <v>208</v>
      </c>
      <c r="K25" s="6" t="s">
        <v>41</v>
      </c>
      <c r="L25" s="6"/>
      <c r="M25" s="6"/>
    </row>
    <row r="26">
      <c r="A26" s="5">
        <v>811.0</v>
      </c>
      <c r="B26" s="16" t="s">
        <v>39</v>
      </c>
      <c r="C26" s="16" t="s">
        <v>39</v>
      </c>
      <c r="D26" s="6" t="s">
        <v>14</v>
      </c>
      <c r="E26" s="6"/>
      <c r="F26" s="6" t="s">
        <v>76</v>
      </c>
      <c r="G26" s="9"/>
      <c r="H26" s="6" t="s">
        <v>39</v>
      </c>
      <c r="I26" s="6" t="s">
        <v>39</v>
      </c>
      <c r="J26" s="6" t="s">
        <v>21</v>
      </c>
      <c r="K26" s="10">
        <v>7.1</v>
      </c>
      <c r="L26" s="10"/>
      <c r="M26" s="10"/>
    </row>
    <row r="27">
      <c r="A27" s="6">
        <v>815.0</v>
      </c>
      <c r="B27" s="19" t="s">
        <v>39</v>
      </c>
      <c r="C27" s="19" t="s">
        <v>39</v>
      </c>
      <c r="D27" s="6" t="s">
        <v>14</v>
      </c>
      <c r="E27" s="6"/>
      <c r="F27" s="7" t="s">
        <v>80</v>
      </c>
      <c r="G27" s="9"/>
      <c r="H27" s="6" t="s">
        <v>39</v>
      </c>
      <c r="I27" s="6" t="s">
        <v>39</v>
      </c>
      <c r="J27" s="6" t="s">
        <v>21</v>
      </c>
      <c r="K27" s="10">
        <v>7.2</v>
      </c>
      <c r="L27" s="10"/>
      <c r="M27" s="10"/>
    </row>
    <row r="28">
      <c r="A28" s="6">
        <v>817.0</v>
      </c>
      <c r="B28" s="16" t="s">
        <v>39</v>
      </c>
      <c r="C28" s="16" t="s">
        <v>39</v>
      </c>
      <c r="D28" s="6" t="s">
        <v>14</v>
      </c>
      <c r="E28" s="6"/>
      <c r="F28" s="7" t="s">
        <v>80</v>
      </c>
      <c r="G28" s="9"/>
      <c r="H28" s="6" t="s">
        <v>39</v>
      </c>
      <c r="I28" s="6" t="s">
        <v>39</v>
      </c>
      <c r="J28" s="6" t="s">
        <v>21</v>
      </c>
      <c r="K28" s="10">
        <v>7.2</v>
      </c>
      <c r="L28" s="10"/>
      <c r="M28" s="10"/>
    </row>
    <row r="29">
      <c r="A29" s="6">
        <v>821.0</v>
      </c>
      <c r="B29" s="19" t="s">
        <v>39</v>
      </c>
      <c r="C29" s="19" t="s">
        <v>39</v>
      </c>
      <c r="D29" s="6" t="s">
        <v>14</v>
      </c>
      <c r="E29" s="6"/>
      <c r="F29" s="7" t="s">
        <v>80</v>
      </c>
      <c r="G29" s="9"/>
      <c r="H29" s="6" t="s">
        <v>39</v>
      </c>
      <c r="I29" s="6" t="s">
        <v>39</v>
      </c>
      <c r="J29" s="6" t="s">
        <v>21</v>
      </c>
      <c r="K29" s="10">
        <v>7.2</v>
      </c>
      <c r="L29" s="10"/>
      <c r="M29" s="10"/>
    </row>
    <row r="30">
      <c r="A30" s="6">
        <v>823.0</v>
      </c>
      <c r="B30" s="16" t="s">
        <v>39</v>
      </c>
      <c r="C30" s="16" t="s">
        <v>39</v>
      </c>
      <c r="D30" s="6" t="s">
        <v>14</v>
      </c>
      <c r="E30" s="6"/>
      <c r="F30" s="7" t="s">
        <v>80</v>
      </c>
      <c r="G30" s="9"/>
      <c r="H30" s="6" t="s">
        <v>39</v>
      </c>
      <c r="I30" s="6" t="s">
        <v>39</v>
      </c>
      <c r="J30" s="6" t="s">
        <v>21</v>
      </c>
      <c r="K30" s="10">
        <v>7.2</v>
      </c>
      <c r="L30" s="10"/>
      <c r="M30" s="10"/>
    </row>
    <row r="31">
      <c r="A31" s="5">
        <v>825.0</v>
      </c>
      <c r="B31" s="19" t="s">
        <v>39</v>
      </c>
      <c r="C31" s="19" t="s">
        <v>39</v>
      </c>
      <c r="D31" s="6" t="s">
        <v>14</v>
      </c>
      <c r="E31" s="6"/>
      <c r="F31" s="6" t="s">
        <v>76</v>
      </c>
      <c r="G31" s="9"/>
      <c r="H31" s="6" t="s">
        <v>39</v>
      </c>
      <c r="I31" s="6" t="s">
        <v>39</v>
      </c>
      <c r="J31" s="6" t="s">
        <v>21</v>
      </c>
      <c r="K31" s="10">
        <v>7.1</v>
      </c>
      <c r="L31" s="10"/>
      <c r="M31" s="10"/>
    </row>
    <row r="32">
      <c r="A32" s="6">
        <v>827.0</v>
      </c>
      <c r="B32" s="16" t="s">
        <v>39</v>
      </c>
      <c r="C32" s="16" t="s">
        <v>39</v>
      </c>
      <c r="D32" s="6" t="s">
        <v>14</v>
      </c>
      <c r="E32" s="6"/>
      <c r="F32" s="8" t="s">
        <v>80</v>
      </c>
      <c r="G32" s="9"/>
      <c r="H32" s="6" t="s">
        <v>39</v>
      </c>
      <c r="I32" s="6" t="s">
        <v>39</v>
      </c>
      <c r="J32" s="6" t="s">
        <v>21</v>
      </c>
      <c r="K32" s="10">
        <v>7.2</v>
      </c>
      <c r="L32" s="10"/>
      <c r="M32" s="10"/>
    </row>
    <row r="33">
      <c r="A33" s="6">
        <v>857.0</v>
      </c>
      <c r="B33" s="19" t="s">
        <v>39</v>
      </c>
      <c r="C33" s="19" t="s">
        <v>39</v>
      </c>
      <c r="D33" s="6" t="s">
        <v>14</v>
      </c>
      <c r="E33" s="6"/>
      <c r="F33" s="8" t="s">
        <v>80</v>
      </c>
      <c r="G33" s="9"/>
      <c r="H33" s="6" t="s">
        <v>39</v>
      </c>
      <c r="I33" s="6" t="s">
        <v>39</v>
      </c>
      <c r="J33" s="6" t="s">
        <v>21</v>
      </c>
      <c r="K33" s="10">
        <v>7.2</v>
      </c>
      <c r="L33" s="10"/>
      <c r="M33" s="10"/>
    </row>
    <row r="34">
      <c r="A34" s="5">
        <v>861.0</v>
      </c>
      <c r="B34" s="16" t="s">
        <v>39</v>
      </c>
      <c r="C34" s="16" t="s">
        <v>39</v>
      </c>
      <c r="D34" s="6" t="s">
        <v>14</v>
      </c>
      <c r="E34" s="6"/>
      <c r="F34" s="6" t="s">
        <v>76</v>
      </c>
      <c r="G34" s="9"/>
      <c r="H34" s="6" t="s">
        <v>39</v>
      </c>
      <c r="I34" s="6" t="s">
        <v>39</v>
      </c>
      <c r="J34" s="6" t="s">
        <v>21</v>
      </c>
      <c r="K34" s="10">
        <v>7.1</v>
      </c>
      <c r="L34" s="10"/>
      <c r="M34" s="10"/>
    </row>
    <row r="35">
      <c r="A35" s="5">
        <v>863.0</v>
      </c>
      <c r="B35" s="6" t="s">
        <v>39</v>
      </c>
      <c r="C35" s="6" t="s">
        <v>39</v>
      </c>
      <c r="D35" s="5"/>
      <c r="E35" s="5"/>
      <c r="F35" s="5"/>
      <c r="G35" s="9">
        <v>44190.0</v>
      </c>
      <c r="H35" s="6" t="s">
        <v>39</v>
      </c>
      <c r="I35" s="6" t="s">
        <v>39</v>
      </c>
      <c r="J35" s="6" t="s">
        <v>18</v>
      </c>
      <c r="K35" s="13"/>
      <c r="L35" s="13"/>
      <c r="M35" s="13"/>
    </row>
    <row r="36">
      <c r="A36" s="5">
        <v>873.0</v>
      </c>
      <c r="B36" s="19" t="s">
        <v>39</v>
      </c>
      <c r="C36" s="19" t="s">
        <v>39</v>
      </c>
      <c r="D36" s="6" t="s">
        <v>14</v>
      </c>
      <c r="E36" s="6"/>
      <c r="F36" s="11" t="s">
        <v>98</v>
      </c>
      <c r="G36" s="20" t="s">
        <v>99</v>
      </c>
      <c r="H36" s="6" t="s">
        <v>39</v>
      </c>
      <c r="I36" s="6" t="s">
        <v>39</v>
      </c>
      <c r="J36" s="6" t="s">
        <v>208</v>
      </c>
      <c r="K36" s="10" t="s">
        <v>100</v>
      </c>
      <c r="L36" s="10"/>
      <c r="M36" s="10"/>
    </row>
    <row r="37">
      <c r="A37" s="5">
        <v>923.0</v>
      </c>
      <c r="B37" s="6" t="s">
        <v>39</v>
      </c>
      <c r="C37" s="6" t="s">
        <v>39</v>
      </c>
      <c r="D37" s="5" t="s">
        <v>105</v>
      </c>
      <c r="E37" s="5"/>
      <c r="F37" s="5"/>
      <c r="G37" s="9">
        <v>44222.0</v>
      </c>
      <c r="H37" s="6" t="s">
        <v>39</v>
      </c>
      <c r="I37" s="6" t="s">
        <v>39</v>
      </c>
      <c r="J37" s="6" t="s">
        <v>18</v>
      </c>
      <c r="K37" s="13"/>
      <c r="L37" s="13"/>
      <c r="M37" s="13"/>
    </row>
    <row r="38">
      <c r="A38" s="5">
        <v>927.0</v>
      </c>
      <c r="B38" s="6" t="s">
        <v>39</v>
      </c>
      <c r="C38" s="6" t="s">
        <v>39</v>
      </c>
      <c r="D38" s="5" t="s">
        <v>35</v>
      </c>
      <c r="E38" s="5"/>
      <c r="F38" s="5"/>
      <c r="G38" s="9">
        <v>44221.0</v>
      </c>
      <c r="H38" s="6" t="s">
        <v>39</v>
      </c>
      <c r="I38" s="6" t="s">
        <v>39</v>
      </c>
      <c r="J38" s="6" t="s">
        <v>18</v>
      </c>
      <c r="K38" s="13"/>
      <c r="L38" s="13"/>
      <c r="M38" s="13"/>
    </row>
    <row r="39">
      <c r="A39" s="5">
        <v>929.0</v>
      </c>
      <c r="B39" s="6" t="s">
        <v>39</v>
      </c>
      <c r="C39" s="6" t="s">
        <v>39</v>
      </c>
      <c r="D39" s="5" t="s">
        <v>35</v>
      </c>
      <c r="E39" s="5"/>
      <c r="F39" s="5"/>
      <c r="G39" s="9">
        <v>44225.0</v>
      </c>
      <c r="H39" s="6" t="s">
        <v>39</v>
      </c>
      <c r="I39" s="6" t="s">
        <v>39</v>
      </c>
      <c r="J39" s="6" t="s">
        <v>21</v>
      </c>
      <c r="K39" s="10">
        <v>8.1</v>
      </c>
      <c r="L39" s="10"/>
      <c r="M39" s="10"/>
    </row>
    <row r="40">
      <c r="A40" s="5">
        <v>933.0</v>
      </c>
      <c r="B40" s="6" t="s">
        <v>39</v>
      </c>
      <c r="C40" s="6" t="s">
        <v>39</v>
      </c>
      <c r="D40" s="5" t="s">
        <v>35</v>
      </c>
      <c r="E40" s="5"/>
      <c r="F40" s="5"/>
      <c r="G40" s="9">
        <v>44227.0</v>
      </c>
      <c r="H40" s="6" t="s">
        <v>39</v>
      </c>
      <c r="I40" s="6" t="s">
        <v>39</v>
      </c>
      <c r="J40" s="6" t="s">
        <v>208</v>
      </c>
      <c r="K40" s="10" t="s">
        <v>143</v>
      </c>
      <c r="L40" s="10"/>
      <c r="M40" s="10"/>
    </row>
    <row r="41">
      <c r="A41" s="5">
        <v>937.0</v>
      </c>
      <c r="B41" s="6" t="s">
        <v>39</v>
      </c>
      <c r="C41" s="6" t="s">
        <v>39</v>
      </c>
      <c r="D41" s="5" t="s">
        <v>35</v>
      </c>
      <c r="E41" s="5"/>
      <c r="F41" s="5"/>
      <c r="G41" s="9">
        <v>44232.0</v>
      </c>
      <c r="H41" s="6" t="s">
        <v>39</v>
      </c>
      <c r="I41" s="6" t="s">
        <v>39</v>
      </c>
      <c r="J41" s="6" t="s">
        <v>18</v>
      </c>
      <c r="K41" s="13"/>
      <c r="L41" s="13"/>
      <c r="M41" s="13"/>
    </row>
    <row r="42">
      <c r="A42" s="5">
        <v>939.0</v>
      </c>
      <c r="B42" s="6" t="s">
        <v>39</v>
      </c>
      <c r="C42" s="6" t="s">
        <v>39</v>
      </c>
      <c r="D42" s="7" t="s">
        <v>14</v>
      </c>
      <c r="E42" s="7"/>
      <c r="F42" s="8" t="s">
        <v>15</v>
      </c>
      <c r="G42" s="20">
        <v>44239.0</v>
      </c>
      <c r="H42" s="6" t="s">
        <v>39</v>
      </c>
      <c r="I42" s="6" t="s">
        <v>39</v>
      </c>
      <c r="J42" s="6" t="s">
        <v>21</v>
      </c>
      <c r="K42" s="10">
        <v>8.1</v>
      </c>
      <c r="L42" s="10"/>
      <c r="M42" s="10"/>
    </row>
    <row r="43">
      <c r="A43" s="6">
        <v>957.0</v>
      </c>
      <c r="B43" s="6" t="s">
        <v>39</v>
      </c>
      <c r="C43" s="6" t="s">
        <v>39</v>
      </c>
      <c r="D43" s="6" t="s">
        <v>35</v>
      </c>
      <c r="E43" s="6"/>
      <c r="F43" s="6"/>
      <c r="G43" s="20">
        <v>44246.0</v>
      </c>
      <c r="H43" s="6" t="s">
        <v>39</v>
      </c>
      <c r="I43" s="6" t="s">
        <v>39</v>
      </c>
      <c r="J43" s="6" t="s">
        <v>115</v>
      </c>
      <c r="K43" s="10" t="s">
        <v>116</v>
      </c>
      <c r="L43" s="10"/>
      <c r="M43" s="10"/>
    </row>
    <row r="44">
      <c r="A44" s="5">
        <v>959.0</v>
      </c>
      <c r="B44" s="6" t="s">
        <v>39</v>
      </c>
      <c r="C44" s="6" t="s">
        <v>39</v>
      </c>
      <c r="D44" s="5" t="s">
        <v>35</v>
      </c>
      <c r="E44" s="5"/>
      <c r="F44" s="5"/>
      <c r="G44" s="9">
        <v>44249.0</v>
      </c>
      <c r="H44" s="6" t="s">
        <v>39</v>
      </c>
      <c r="I44" s="6" t="s">
        <v>39</v>
      </c>
      <c r="J44" s="6" t="s">
        <v>115</v>
      </c>
      <c r="K44" s="10" t="s">
        <v>116</v>
      </c>
      <c r="L44" s="10"/>
      <c r="M44" s="10"/>
    </row>
    <row r="45">
      <c r="A45" s="5">
        <v>961.0</v>
      </c>
      <c r="B45" s="6" t="s">
        <v>39</v>
      </c>
      <c r="C45" s="6" t="s">
        <v>39</v>
      </c>
      <c r="D45" s="5" t="s">
        <v>35</v>
      </c>
      <c r="E45" s="5"/>
      <c r="F45" s="5"/>
      <c r="G45" s="9">
        <v>44255.0</v>
      </c>
      <c r="H45" s="6" t="s">
        <v>39</v>
      </c>
      <c r="I45" s="6" t="s">
        <v>39</v>
      </c>
      <c r="J45" s="6" t="s">
        <v>115</v>
      </c>
      <c r="K45" s="10" t="s">
        <v>116</v>
      </c>
      <c r="L45" s="10"/>
      <c r="M45" s="10"/>
    </row>
    <row r="46">
      <c r="A46" s="5">
        <v>963.0</v>
      </c>
      <c r="B46" s="6" t="s">
        <v>39</v>
      </c>
      <c r="C46" s="6" t="s">
        <v>39</v>
      </c>
      <c r="D46" s="5" t="s">
        <v>35</v>
      </c>
      <c r="E46" s="5"/>
      <c r="F46" s="5"/>
      <c r="G46" s="9">
        <v>44254.0</v>
      </c>
      <c r="H46" s="6" t="s">
        <v>39</v>
      </c>
      <c r="I46" s="6" t="s">
        <v>39</v>
      </c>
      <c r="J46" s="6" t="s">
        <v>18</v>
      </c>
      <c r="K46" s="13"/>
      <c r="L46" s="13"/>
      <c r="M46" s="13"/>
    </row>
    <row r="47">
      <c r="A47" s="6">
        <v>965.0</v>
      </c>
      <c r="B47" s="19" t="s">
        <v>39</v>
      </c>
      <c r="C47" s="19" t="s">
        <v>39</v>
      </c>
      <c r="D47" s="6" t="s">
        <v>14</v>
      </c>
      <c r="E47" s="6"/>
      <c r="F47" s="6" t="s">
        <v>76</v>
      </c>
      <c r="G47" s="20">
        <v>44187.0</v>
      </c>
      <c r="H47" s="6" t="s">
        <v>39</v>
      </c>
      <c r="I47" s="6" t="s">
        <v>39</v>
      </c>
      <c r="J47" s="21" t="s">
        <v>21</v>
      </c>
      <c r="K47" s="22">
        <v>7.1</v>
      </c>
      <c r="L47" s="22"/>
      <c r="M47" s="22"/>
    </row>
    <row r="48">
      <c r="A48" s="6">
        <v>967.0</v>
      </c>
      <c r="B48" s="16" t="s">
        <v>39</v>
      </c>
      <c r="C48" s="16" t="s">
        <v>39</v>
      </c>
      <c r="D48" s="6" t="s">
        <v>14</v>
      </c>
      <c r="E48" s="6"/>
      <c r="F48" s="6" t="s">
        <v>76</v>
      </c>
      <c r="G48" s="9"/>
      <c r="H48" s="6" t="s">
        <v>39</v>
      </c>
      <c r="I48" s="6" t="s">
        <v>39</v>
      </c>
      <c r="J48" s="6" t="s">
        <v>21</v>
      </c>
      <c r="K48" s="10">
        <v>7.1</v>
      </c>
      <c r="L48" s="10"/>
      <c r="M48" s="10"/>
    </row>
    <row r="49">
      <c r="A49" s="5">
        <v>979.0</v>
      </c>
      <c r="B49" s="6" t="s">
        <v>39</v>
      </c>
      <c r="C49" s="6" t="s">
        <v>39</v>
      </c>
      <c r="D49" s="5" t="s">
        <v>129</v>
      </c>
      <c r="E49" s="5"/>
      <c r="F49" s="5"/>
      <c r="G49" s="9">
        <v>44268.0</v>
      </c>
      <c r="H49" s="6" t="s">
        <v>39</v>
      </c>
      <c r="I49" s="6" t="s">
        <v>39</v>
      </c>
      <c r="J49" s="6" t="s">
        <v>18</v>
      </c>
      <c r="K49" s="13"/>
      <c r="L49" s="13"/>
      <c r="M49" s="13"/>
    </row>
    <row r="50">
      <c r="A50" s="5">
        <v>983.0</v>
      </c>
      <c r="B50" s="6" t="s">
        <v>39</v>
      </c>
      <c r="C50" s="6" t="s">
        <v>39</v>
      </c>
      <c r="D50" s="5" t="s">
        <v>35</v>
      </c>
      <c r="E50" s="5"/>
      <c r="F50" s="5"/>
      <c r="G50" s="9">
        <v>44270.0</v>
      </c>
      <c r="H50" s="6" t="s">
        <v>39</v>
      </c>
      <c r="I50" s="6" t="s">
        <v>39</v>
      </c>
      <c r="J50" s="6" t="s">
        <v>18</v>
      </c>
      <c r="K50" s="13"/>
      <c r="L50" s="13"/>
      <c r="M50" s="13"/>
    </row>
    <row r="51">
      <c r="A51" s="6" t="s">
        <v>291</v>
      </c>
      <c r="B51" s="6" t="s">
        <v>39</v>
      </c>
      <c r="C51" s="6" t="s">
        <v>39</v>
      </c>
      <c r="D51" s="5" t="s">
        <v>35</v>
      </c>
      <c r="E51" s="5"/>
      <c r="F51" s="5"/>
      <c r="G51" s="9">
        <v>44271.0</v>
      </c>
      <c r="H51" s="6" t="s">
        <v>39</v>
      </c>
      <c r="I51" s="6" t="s">
        <v>39</v>
      </c>
      <c r="J51" s="6" t="s">
        <v>208</v>
      </c>
      <c r="K51" s="10" t="s">
        <v>132</v>
      </c>
      <c r="L51" s="10"/>
      <c r="M51" s="10"/>
    </row>
    <row r="52">
      <c r="A52" s="5">
        <v>999.0</v>
      </c>
      <c r="B52" s="6" t="s">
        <v>39</v>
      </c>
      <c r="C52" s="6" t="s">
        <v>39</v>
      </c>
      <c r="D52" s="5" t="s">
        <v>35</v>
      </c>
      <c r="E52" s="5"/>
      <c r="F52" s="5"/>
      <c r="G52" s="9">
        <v>44277.0</v>
      </c>
      <c r="H52" s="6" t="s">
        <v>39</v>
      </c>
      <c r="I52" s="6" t="s">
        <v>39</v>
      </c>
      <c r="J52" s="6" t="s">
        <v>18</v>
      </c>
      <c r="K52" s="13"/>
      <c r="L52" s="13"/>
      <c r="M52" s="13"/>
    </row>
    <row r="53">
      <c r="A53" s="21">
        <v>1005.0</v>
      </c>
      <c r="B53" s="21" t="s">
        <v>39</v>
      </c>
      <c r="C53" s="21" t="s">
        <v>39</v>
      </c>
      <c r="D53" s="21" t="s">
        <v>14</v>
      </c>
      <c r="E53" s="21"/>
      <c r="F53" s="23" t="s">
        <v>98</v>
      </c>
      <c r="G53" s="24" t="s">
        <v>137</v>
      </c>
      <c r="H53" s="21" t="s">
        <v>39</v>
      </c>
      <c r="I53" s="21" t="s">
        <v>39</v>
      </c>
      <c r="J53" s="21" t="s">
        <v>115</v>
      </c>
      <c r="K53" s="22" t="s">
        <v>116</v>
      </c>
      <c r="L53" s="22"/>
      <c r="M53" s="22"/>
    </row>
    <row r="54">
      <c r="A54" s="15">
        <v>1013.0</v>
      </c>
      <c r="B54" s="16" t="s">
        <v>39</v>
      </c>
      <c r="C54" s="16" t="s">
        <v>39</v>
      </c>
      <c r="D54" s="15" t="s">
        <v>35</v>
      </c>
      <c r="E54" s="15"/>
      <c r="F54" s="15"/>
      <c r="G54" s="25">
        <v>44289.0</v>
      </c>
      <c r="H54" s="16" t="s">
        <v>39</v>
      </c>
      <c r="I54" s="16" t="s">
        <v>39</v>
      </c>
      <c r="J54" s="16" t="s">
        <v>18</v>
      </c>
      <c r="K54" s="15"/>
      <c r="L54" s="15"/>
      <c r="M54" s="15"/>
    </row>
    <row r="55">
      <c r="A55" s="26">
        <v>1017.0</v>
      </c>
      <c r="B55" s="21" t="s">
        <v>39</v>
      </c>
      <c r="C55" s="21" t="s">
        <v>39</v>
      </c>
      <c r="D55" s="21" t="s">
        <v>142</v>
      </c>
      <c r="E55" s="21"/>
      <c r="F55" s="26"/>
      <c r="G55" s="27">
        <v>44294.0</v>
      </c>
      <c r="H55" s="21" t="s">
        <v>39</v>
      </c>
      <c r="I55" s="21" t="s">
        <v>39</v>
      </c>
      <c r="J55" s="21" t="s">
        <v>18</v>
      </c>
      <c r="K55" s="26"/>
      <c r="L55" s="26"/>
      <c r="M55" s="26"/>
    </row>
    <row r="56">
      <c r="A56" s="15">
        <v>1031.0</v>
      </c>
      <c r="B56" s="16" t="s">
        <v>39</v>
      </c>
      <c r="C56" s="16" t="s">
        <v>39</v>
      </c>
      <c r="D56" s="15" t="s">
        <v>35</v>
      </c>
      <c r="E56" s="15"/>
      <c r="F56" s="15"/>
      <c r="G56" s="25">
        <v>44304.0</v>
      </c>
      <c r="H56" s="16" t="s">
        <v>39</v>
      </c>
      <c r="I56" s="16" t="s">
        <v>39</v>
      </c>
      <c r="J56" s="16" t="s">
        <v>208</v>
      </c>
      <c r="K56" s="16" t="s">
        <v>143</v>
      </c>
      <c r="L56" s="16"/>
      <c r="M56" s="16"/>
    </row>
    <row r="57">
      <c r="A57" s="21">
        <v>1049.0</v>
      </c>
      <c r="B57" s="21" t="s">
        <v>39</v>
      </c>
      <c r="C57" s="21" t="s">
        <v>39</v>
      </c>
      <c r="D57" s="26" t="s">
        <v>35</v>
      </c>
      <c r="E57" s="26"/>
      <c r="F57" s="26"/>
      <c r="G57" s="24">
        <v>44323.0</v>
      </c>
      <c r="H57" s="21" t="s">
        <v>39</v>
      </c>
      <c r="I57" s="21" t="s">
        <v>39</v>
      </c>
      <c r="J57" s="21" t="s">
        <v>208</v>
      </c>
      <c r="K57" s="21" t="s">
        <v>143</v>
      </c>
      <c r="L57" s="21"/>
      <c r="M57" s="21"/>
    </row>
    <row r="58">
      <c r="A58" s="16">
        <v>1059.0</v>
      </c>
      <c r="B58" s="16" t="s">
        <v>39</v>
      </c>
      <c r="C58" s="16" t="s">
        <v>39</v>
      </c>
      <c r="D58" s="15" t="s">
        <v>35</v>
      </c>
      <c r="E58" s="15"/>
      <c r="F58" s="15"/>
      <c r="G58" s="30">
        <v>44326.0</v>
      </c>
      <c r="H58" s="16" t="s">
        <v>39</v>
      </c>
      <c r="I58" s="16" t="s">
        <v>39</v>
      </c>
      <c r="J58" s="16" t="s">
        <v>208</v>
      </c>
      <c r="K58" s="16" t="s">
        <v>145</v>
      </c>
      <c r="L58" s="16"/>
      <c r="M58" s="16"/>
    </row>
    <row r="59">
      <c r="A59" s="21">
        <v>1085.0</v>
      </c>
      <c r="B59" s="21" t="s">
        <v>39</v>
      </c>
      <c r="C59" s="21" t="s">
        <v>39</v>
      </c>
      <c r="D59" s="32" t="s">
        <v>14</v>
      </c>
      <c r="E59" s="32"/>
      <c r="F59" s="33" t="s">
        <v>148</v>
      </c>
      <c r="G59" s="27">
        <v>44344.0</v>
      </c>
      <c r="H59" s="21" t="s">
        <v>39</v>
      </c>
      <c r="I59" s="21" t="s">
        <v>39</v>
      </c>
      <c r="J59" s="21" t="s">
        <v>115</v>
      </c>
      <c r="K59" s="21" t="s">
        <v>116</v>
      </c>
      <c r="L59" s="21"/>
      <c r="M59" s="21"/>
    </row>
    <row r="60">
      <c r="A60" s="16">
        <v>1091.0</v>
      </c>
      <c r="B60" s="16" t="s">
        <v>39</v>
      </c>
      <c r="C60" s="16" t="s">
        <v>39</v>
      </c>
      <c r="D60" s="34" t="s">
        <v>14</v>
      </c>
      <c r="E60" s="34"/>
      <c r="F60" s="35" t="s">
        <v>148</v>
      </c>
      <c r="G60" s="30">
        <v>44345.0</v>
      </c>
      <c r="H60" s="16" t="s">
        <v>39</v>
      </c>
      <c r="I60" s="16" t="s">
        <v>39</v>
      </c>
      <c r="J60" s="16" t="s">
        <v>208</v>
      </c>
      <c r="K60" s="16" t="s">
        <v>149</v>
      </c>
      <c r="L60" s="16"/>
      <c r="M60" s="16"/>
    </row>
    <row r="61">
      <c r="A61" s="21">
        <v>1095.0</v>
      </c>
      <c r="B61" s="21" t="s">
        <v>39</v>
      </c>
      <c r="C61" s="21" t="s">
        <v>39</v>
      </c>
      <c r="D61" s="32" t="s">
        <v>14</v>
      </c>
      <c r="E61" s="32"/>
      <c r="F61" s="33" t="s">
        <v>148</v>
      </c>
      <c r="G61" s="27">
        <v>44348.0</v>
      </c>
      <c r="H61" s="21" t="s">
        <v>39</v>
      </c>
      <c r="I61" s="21" t="s">
        <v>39</v>
      </c>
      <c r="J61" s="21" t="s">
        <v>208</v>
      </c>
      <c r="K61" s="21" t="s">
        <v>150</v>
      </c>
      <c r="L61" s="21"/>
      <c r="M61" s="21"/>
    </row>
    <row r="62">
      <c r="A62" s="16">
        <v>1109.0</v>
      </c>
      <c r="B62" s="16" t="s">
        <v>39</v>
      </c>
      <c r="C62" s="16" t="s">
        <v>39</v>
      </c>
      <c r="D62" s="16" t="s">
        <v>14</v>
      </c>
      <c r="E62" s="16"/>
      <c r="F62" s="37" t="s">
        <v>98</v>
      </c>
      <c r="G62" s="30">
        <v>44368.0</v>
      </c>
      <c r="H62" s="16" t="s">
        <v>39</v>
      </c>
      <c r="I62" s="16" t="s">
        <v>39</v>
      </c>
      <c r="J62" s="16" t="s">
        <v>208</v>
      </c>
      <c r="K62" s="16" t="s">
        <v>151</v>
      </c>
      <c r="L62" s="16"/>
      <c r="M62" s="16"/>
    </row>
    <row r="63">
      <c r="A63" s="21">
        <v>1119.0</v>
      </c>
      <c r="B63" s="21" t="s">
        <v>39</v>
      </c>
      <c r="C63" s="21" t="s">
        <v>39</v>
      </c>
      <c r="D63" s="21" t="s">
        <v>14</v>
      </c>
      <c r="E63" s="21"/>
      <c r="F63" s="21" t="s">
        <v>76</v>
      </c>
      <c r="G63" s="24">
        <v>44450.0</v>
      </c>
      <c r="H63" s="21" t="s">
        <v>39</v>
      </c>
      <c r="I63" s="21" t="s">
        <v>39</v>
      </c>
      <c r="J63" s="21" t="s">
        <v>21</v>
      </c>
      <c r="K63" s="22">
        <v>7.1</v>
      </c>
      <c r="L63" s="22"/>
      <c r="M63" s="22"/>
    </row>
    <row r="64">
      <c r="A64" s="16">
        <v>1123.0</v>
      </c>
      <c r="B64" s="16" t="s">
        <v>39</v>
      </c>
      <c r="C64" s="16" t="s">
        <v>39</v>
      </c>
      <c r="D64" s="15" t="s">
        <v>35</v>
      </c>
      <c r="E64" s="15"/>
      <c r="F64" s="15"/>
      <c r="G64" s="30">
        <v>44358.0</v>
      </c>
      <c r="H64" s="16" t="s">
        <v>39</v>
      </c>
      <c r="I64" s="16" t="s">
        <v>39</v>
      </c>
      <c r="J64" s="16" t="s">
        <v>18</v>
      </c>
      <c r="K64" s="16"/>
      <c r="L64" s="16"/>
      <c r="M64" s="16"/>
    </row>
    <row r="65">
      <c r="A65" s="21">
        <v>1161.0</v>
      </c>
      <c r="B65" s="21" t="s">
        <v>39</v>
      </c>
      <c r="C65" s="21" t="s">
        <v>39</v>
      </c>
      <c r="D65" s="21" t="s">
        <v>35</v>
      </c>
      <c r="E65" s="21"/>
      <c r="F65" s="21"/>
      <c r="G65" s="24">
        <v>44383.0</v>
      </c>
      <c r="H65" s="21" t="s">
        <v>39</v>
      </c>
      <c r="I65" s="21" t="s">
        <v>39</v>
      </c>
      <c r="J65" s="21" t="s">
        <v>115</v>
      </c>
      <c r="K65" s="21" t="s">
        <v>116</v>
      </c>
      <c r="L65" s="21"/>
      <c r="M65" s="21"/>
    </row>
    <row r="66">
      <c r="A66" s="16">
        <v>1179.0</v>
      </c>
      <c r="B66" s="16" t="s">
        <v>39</v>
      </c>
      <c r="C66" s="16" t="s">
        <v>39</v>
      </c>
      <c r="D66" s="16" t="s">
        <v>35</v>
      </c>
      <c r="E66" s="16"/>
      <c r="F66" s="16"/>
      <c r="G66" s="30">
        <v>44404.0</v>
      </c>
      <c r="H66" s="16" t="s">
        <v>39</v>
      </c>
      <c r="I66" s="16" t="s">
        <v>39</v>
      </c>
      <c r="J66" s="16" t="s">
        <v>115</v>
      </c>
      <c r="K66" s="16" t="s">
        <v>116</v>
      </c>
      <c r="L66" s="16"/>
      <c r="M66" s="16"/>
    </row>
    <row r="67">
      <c r="A67" s="21">
        <v>1197.0</v>
      </c>
      <c r="B67" s="21" t="s">
        <v>39</v>
      </c>
      <c r="C67" s="21" t="s">
        <v>39</v>
      </c>
      <c r="D67" s="21" t="s">
        <v>163</v>
      </c>
      <c r="E67" s="21"/>
      <c r="F67" s="21"/>
      <c r="G67" s="24">
        <v>44406.0</v>
      </c>
      <c r="H67" s="21" t="s">
        <v>39</v>
      </c>
      <c r="I67" s="21" t="s">
        <v>39</v>
      </c>
      <c r="J67" s="21" t="s">
        <v>21</v>
      </c>
      <c r="K67" s="22">
        <v>7.1</v>
      </c>
      <c r="L67" s="22"/>
      <c r="M67" s="22"/>
    </row>
    <row r="68">
      <c r="A68" s="38">
        <v>1205.0</v>
      </c>
      <c r="B68" s="16" t="s">
        <v>39</v>
      </c>
      <c r="C68" s="16" t="s">
        <v>39</v>
      </c>
      <c r="D68" s="38" t="s">
        <v>35</v>
      </c>
      <c r="E68" s="38"/>
      <c r="F68" s="38"/>
      <c r="G68" s="30">
        <v>44412.0</v>
      </c>
      <c r="H68" s="16" t="s">
        <v>39</v>
      </c>
      <c r="I68" s="16" t="s">
        <v>39</v>
      </c>
      <c r="J68" s="16" t="s">
        <v>18</v>
      </c>
      <c r="K68" s="15"/>
      <c r="L68" s="15"/>
      <c r="M68" s="15"/>
    </row>
    <row r="69">
      <c r="A69" s="39">
        <v>1213.0</v>
      </c>
      <c r="B69" s="21" t="s">
        <v>39</v>
      </c>
      <c r="C69" s="21" t="s">
        <v>39</v>
      </c>
      <c r="D69" s="39" t="s">
        <v>35</v>
      </c>
      <c r="E69" s="39"/>
      <c r="F69" s="39"/>
      <c r="G69" s="24">
        <v>44414.0</v>
      </c>
      <c r="H69" s="21" t="s">
        <v>39</v>
      </c>
      <c r="I69" s="21" t="s">
        <v>39</v>
      </c>
      <c r="J69" s="21" t="s">
        <v>18</v>
      </c>
      <c r="K69" s="21" t="s">
        <v>168</v>
      </c>
      <c r="L69" s="21"/>
      <c r="M69" s="21"/>
    </row>
    <row r="70">
      <c r="A70" s="38">
        <v>1219.0</v>
      </c>
      <c r="B70" s="16" t="s">
        <v>39</v>
      </c>
      <c r="C70" s="16" t="s">
        <v>39</v>
      </c>
      <c r="D70" s="38" t="s">
        <v>35</v>
      </c>
      <c r="E70" s="38"/>
      <c r="F70" s="38"/>
      <c r="G70" s="30">
        <v>44415.0</v>
      </c>
      <c r="H70" s="16" t="s">
        <v>39</v>
      </c>
      <c r="I70" s="16" t="s">
        <v>39</v>
      </c>
      <c r="J70" s="16" t="s">
        <v>18</v>
      </c>
      <c r="K70" s="15"/>
      <c r="L70" s="15"/>
      <c r="M70" s="15"/>
    </row>
    <row r="71">
      <c r="A71" s="39">
        <v>1225.0</v>
      </c>
      <c r="B71" s="21" t="s">
        <v>39</v>
      </c>
      <c r="C71" s="21" t="s">
        <v>39</v>
      </c>
      <c r="D71" s="39" t="s">
        <v>35</v>
      </c>
      <c r="E71" s="39"/>
      <c r="F71" s="39"/>
      <c r="G71" s="24">
        <v>44428.0</v>
      </c>
      <c r="H71" s="21" t="s">
        <v>39</v>
      </c>
      <c r="I71" s="21" t="s">
        <v>39</v>
      </c>
      <c r="J71" s="21" t="s">
        <v>18</v>
      </c>
      <c r="K71" s="26"/>
      <c r="L71" s="26"/>
      <c r="M71" s="26"/>
    </row>
    <row r="72">
      <c r="A72" s="16">
        <v>1233.0</v>
      </c>
      <c r="B72" s="16" t="s">
        <v>39</v>
      </c>
      <c r="C72" s="16" t="s">
        <v>39</v>
      </c>
      <c r="D72" s="38" t="s">
        <v>35</v>
      </c>
      <c r="E72" s="38"/>
      <c r="F72" s="38"/>
      <c r="G72" s="25">
        <v>44434.0</v>
      </c>
      <c r="H72" s="16" t="s">
        <v>39</v>
      </c>
      <c r="I72" s="16" t="s">
        <v>39</v>
      </c>
      <c r="J72" s="16" t="s">
        <v>115</v>
      </c>
      <c r="K72" s="16" t="s">
        <v>175</v>
      </c>
      <c r="L72" s="16"/>
      <c r="M72" s="16"/>
    </row>
    <row r="73">
      <c r="A73" s="39">
        <v>1295.0</v>
      </c>
      <c r="B73" s="21" t="s">
        <v>39</v>
      </c>
      <c r="C73" s="21" t="s">
        <v>39</v>
      </c>
      <c r="D73" s="39" t="s">
        <v>142</v>
      </c>
      <c r="E73" s="39"/>
      <c r="F73" s="39"/>
      <c r="G73" s="27">
        <v>44477.0</v>
      </c>
      <c r="H73" s="21" t="s">
        <v>39</v>
      </c>
      <c r="I73" s="21" t="s">
        <v>39</v>
      </c>
      <c r="J73" s="39" t="s">
        <v>18</v>
      </c>
      <c r="K73" s="26"/>
      <c r="L73" s="26"/>
      <c r="M73" s="26"/>
    </row>
    <row r="74">
      <c r="A74" s="38">
        <v>1185.0</v>
      </c>
      <c r="B74" s="16" t="s">
        <v>39</v>
      </c>
      <c r="C74" s="16" t="s">
        <v>39</v>
      </c>
      <c r="D74" s="16" t="s">
        <v>14</v>
      </c>
      <c r="E74" s="16"/>
      <c r="F74" s="16" t="s">
        <v>180</v>
      </c>
      <c r="G74" s="40">
        <v>44441.0</v>
      </c>
      <c r="H74" s="16" t="s">
        <v>39</v>
      </c>
      <c r="I74" s="16" t="s">
        <v>39</v>
      </c>
      <c r="J74" s="38" t="s">
        <v>115</v>
      </c>
      <c r="K74" s="38" t="s">
        <v>181</v>
      </c>
      <c r="L74" s="38"/>
      <c r="M74" s="38"/>
    </row>
    <row r="75">
      <c r="A75" s="39">
        <v>1239.0</v>
      </c>
      <c r="B75" s="21" t="s">
        <v>39</v>
      </c>
      <c r="C75" s="21" t="s">
        <v>39</v>
      </c>
      <c r="D75" s="32" t="s">
        <v>14</v>
      </c>
      <c r="E75" s="32"/>
      <c r="F75" s="33" t="s">
        <v>148</v>
      </c>
      <c r="G75" s="24">
        <v>44451.0</v>
      </c>
      <c r="H75" s="21" t="s">
        <v>39</v>
      </c>
      <c r="I75" s="21" t="s">
        <v>39</v>
      </c>
      <c r="J75" s="21" t="s">
        <v>208</v>
      </c>
      <c r="K75" s="21"/>
      <c r="L75" s="21"/>
      <c r="M75" s="21"/>
    </row>
    <row r="76">
      <c r="A76" s="38">
        <v>1247.0</v>
      </c>
      <c r="B76" s="16" t="s">
        <v>39</v>
      </c>
      <c r="C76" s="16" t="s">
        <v>39</v>
      </c>
      <c r="D76" s="15"/>
      <c r="E76" s="15"/>
      <c r="F76" s="38" t="s">
        <v>80</v>
      </c>
      <c r="G76" s="25"/>
      <c r="H76" s="16" t="s">
        <v>39</v>
      </c>
      <c r="I76" s="16" t="s">
        <v>39</v>
      </c>
      <c r="J76" s="16" t="s">
        <v>21</v>
      </c>
      <c r="K76" s="28">
        <v>7.2</v>
      </c>
      <c r="L76" s="28"/>
      <c r="M76" s="28"/>
    </row>
    <row r="77">
      <c r="A77" s="39">
        <v>1253.0</v>
      </c>
      <c r="B77" s="21" t="s">
        <v>39</v>
      </c>
      <c r="C77" s="21" t="s">
        <v>39</v>
      </c>
      <c r="D77" s="39" t="s">
        <v>187</v>
      </c>
      <c r="E77" s="39"/>
      <c r="F77" s="39"/>
      <c r="G77" s="27">
        <v>44481.0</v>
      </c>
      <c r="H77" s="21" t="s">
        <v>39</v>
      </c>
      <c r="I77" s="21" t="s">
        <v>39</v>
      </c>
      <c r="J77" s="39" t="s">
        <v>151</v>
      </c>
      <c r="K77" s="39" t="s">
        <v>188</v>
      </c>
      <c r="L77" s="39"/>
      <c r="M77" s="39"/>
    </row>
    <row r="78">
      <c r="A78" s="38">
        <v>1305.0</v>
      </c>
      <c r="B78" s="16" t="s">
        <v>39</v>
      </c>
      <c r="C78" s="16" t="s">
        <v>39</v>
      </c>
      <c r="D78" s="38" t="s">
        <v>35</v>
      </c>
      <c r="E78" s="38"/>
      <c r="F78" s="38"/>
      <c r="G78" s="25">
        <v>44482.0</v>
      </c>
      <c r="H78" s="16" t="s">
        <v>39</v>
      </c>
      <c r="I78" s="16" t="s">
        <v>39</v>
      </c>
      <c r="J78" s="16" t="s">
        <v>208</v>
      </c>
      <c r="K78" s="16" t="s">
        <v>189</v>
      </c>
      <c r="L78" s="16"/>
      <c r="M78" s="16"/>
    </row>
    <row r="79">
      <c r="A79" s="39">
        <v>1345.0</v>
      </c>
      <c r="B79" s="21" t="s">
        <v>39</v>
      </c>
      <c r="C79" s="21" t="s">
        <v>39</v>
      </c>
      <c r="D79" s="39" t="s">
        <v>35</v>
      </c>
      <c r="E79" s="39"/>
      <c r="F79" s="39"/>
      <c r="G79" s="27">
        <v>44509.0</v>
      </c>
      <c r="H79" s="21" t="s">
        <v>39</v>
      </c>
      <c r="I79" s="21" t="s">
        <v>39</v>
      </c>
      <c r="J79" s="39" t="s">
        <v>18</v>
      </c>
      <c r="K79" s="26"/>
      <c r="L79" s="26"/>
      <c r="M79" s="26"/>
    </row>
    <row r="80">
      <c r="A80" s="38">
        <v>1277.0</v>
      </c>
      <c r="B80" s="16" t="s">
        <v>39</v>
      </c>
      <c r="C80" s="16" t="s">
        <v>39</v>
      </c>
      <c r="D80" s="16" t="s">
        <v>14</v>
      </c>
      <c r="E80" s="16"/>
      <c r="F80" s="38" t="s">
        <v>192</v>
      </c>
      <c r="G80" s="42">
        <v>44470.0</v>
      </c>
      <c r="H80" s="16" t="s">
        <v>39</v>
      </c>
      <c r="I80" s="16" t="s">
        <v>39</v>
      </c>
      <c r="J80" s="16" t="s">
        <v>208</v>
      </c>
      <c r="K80" s="16" t="s">
        <v>194</v>
      </c>
      <c r="L80" s="16"/>
      <c r="M80" s="16"/>
    </row>
    <row r="81">
      <c r="A81" s="39">
        <v>1323.0</v>
      </c>
      <c r="B81" s="21" t="s">
        <v>39</v>
      </c>
      <c r="C81" s="21" t="s">
        <v>39</v>
      </c>
      <c r="D81" s="21" t="s">
        <v>14</v>
      </c>
      <c r="E81" s="21"/>
      <c r="F81" s="39" t="s">
        <v>192</v>
      </c>
      <c r="G81" s="43">
        <v>44502.0</v>
      </c>
      <c r="H81" s="21" t="s">
        <v>39</v>
      </c>
      <c r="I81" s="21" t="s">
        <v>39</v>
      </c>
      <c r="J81" s="21" t="s">
        <v>208</v>
      </c>
      <c r="K81" s="21" t="s">
        <v>194</v>
      </c>
      <c r="L81" s="26"/>
      <c r="M81" s="26"/>
    </row>
    <row r="82">
      <c r="A82" s="38">
        <v>1325.0</v>
      </c>
      <c r="B82" s="16" t="s">
        <v>39</v>
      </c>
      <c r="C82" s="16" t="s">
        <v>39</v>
      </c>
      <c r="D82" s="16" t="s">
        <v>14</v>
      </c>
      <c r="E82" s="16"/>
      <c r="F82" s="38" t="s">
        <v>192</v>
      </c>
      <c r="G82" s="42">
        <v>44502.0</v>
      </c>
      <c r="H82" s="16" t="s">
        <v>39</v>
      </c>
      <c r="I82" s="16" t="s">
        <v>39</v>
      </c>
      <c r="J82" s="16" t="s">
        <v>208</v>
      </c>
      <c r="K82" s="16" t="s">
        <v>194</v>
      </c>
      <c r="L82" s="15"/>
      <c r="M82" s="15"/>
    </row>
    <row r="83">
      <c r="A83" s="39">
        <v>1329.0</v>
      </c>
      <c r="B83" s="21" t="s">
        <v>39</v>
      </c>
      <c r="C83" s="21" t="s">
        <v>39</v>
      </c>
      <c r="D83" s="21" t="s">
        <v>14</v>
      </c>
      <c r="E83" s="21"/>
      <c r="F83" s="39" t="s">
        <v>192</v>
      </c>
      <c r="G83" s="43">
        <v>44503.0</v>
      </c>
      <c r="H83" s="21" t="s">
        <v>39</v>
      </c>
      <c r="I83" s="21" t="s">
        <v>39</v>
      </c>
      <c r="J83" s="21" t="s">
        <v>208</v>
      </c>
      <c r="K83" s="21" t="s">
        <v>194</v>
      </c>
      <c r="L83" s="21"/>
      <c r="M83" s="21"/>
    </row>
    <row r="84">
      <c r="A84" s="38">
        <v>1331.0</v>
      </c>
      <c r="B84" s="16" t="s">
        <v>39</v>
      </c>
      <c r="C84" s="16" t="s">
        <v>39</v>
      </c>
      <c r="D84" s="16" t="s">
        <v>14</v>
      </c>
      <c r="E84" s="16"/>
      <c r="F84" s="38" t="s">
        <v>192</v>
      </c>
      <c r="G84" s="42">
        <v>44503.0</v>
      </c>
      <c r="H84" s="16" t="s">
        <v>39</v>
      </c>
      <c r="I84" s="16" t="s">
        <v>39</v>
      </c>
      <c r="J84" s="16" t="s">
        <v>208</v>
      </c>
      <c r="K84" s="16" t="s">
        <v>194</v>
      </c>
      <c r="L84" s="15"/>
      <c r="M84" s="15"/>
    </row>
    <row r="85">
      <c r="A85" s="39">
        <v>1337.0</v>
      </c>
      <c r="B85" s="21" t="s">
        <v>39</v>
      </c>
      <c r="C85" s="21" t="s">
        <v>39</v>
      </c>
      <c r="D85" s="21" t="s">
        <v>14</v>
      </c>
      <c r="E85" s="21"/>
      <c r="F85" s="39" t="s">
        <v>192</v>
      </c>
      <c r="G85" s="43">
        <v>44505.0</v>
      </c>
      <c r="H85" s="21" t="s">
        <v>39</v>
      </c>
      <c r="I85" s="21" t="s">
        <v>39</v>
      </c>
      <c r="J85" s="21" t="s">
        <v>208</v>
      </c>
      <c r="K85" s="21" t="s">
        <v>194</v>
      </c>
      <c r="L85" s="21"/>
      <c r="M85" s="21"/>
    </row>
    <row r="86">
      <c r="A86" s="38">
        <v>1347.0</v>
      </c>
      <c r="B86" s="16" t="s">
        <v>39</v>
      </c>
      <c r="C86" s="16" t="s">
        <v>39</v>
      </c>
      <c r="D86" s="16" t="s">
        <v>14</v>
      </c>
      <c r="E86" s="16"/>
      <c r="F86" s="38" t="s">
        <v>192</v>
      </c>
      <c r="G86" s="42">
        <v>44512.0</v>
      </c>
      <c r="H86" s="16" t="s">
        <v>39</v>
      </c>
      <c r="I86" s="16" t="s">
        <v>39</v>
      </c>
      <c r="J86" s="16" t="s">
        <v>208</v>
      </c>
      <c r="K86" s="16" t="s">
        <v>194</v>
      </c>
      <c r="L86" s="16"/>
      <c r="M86" s="16"/>
    </row>
    <row r="87">
      <c r="A87" s="39">
        <v>1351.0</v>
      </c>
      <c r="B87" s="21" t="s">
        <v>39</v>
      </c>
      <c r="C87" s="21" t="s">
        <v>39</v>
      </c>
      <c r="D87" s="21" t="s">
        <v>14</v>
      </c>
      <c r="E87" s="21"/>
      <c r="F87" s="39" t="s">
        <v>192</v>
      </c>
      <c r="G87" s="43">
        <v>44515.0</v>
      </c>
      <c r="H87" s="21" t="s">
        <v>39</v>
      </c>
      <c r="I87" s="21" t="s">
        <v>39</v>
      </c>
      <c r="J87" s="21" t="s">
        <v>208</v>
      </c>
      <c r="K87" s="21" t="s">
        <v>194</v>
      </c>
      <c r="L87" s="26"/>
      <c r="M87" s="26"/>
    </row>
    <row r="88">
      <c r="A88" s="38">
        <v>1357.0</v>
      </c>
      <c r="B88" s="16" t="s">
        <v>39</v>
      </c>
      <c r="C88" s="16" t="s">
        <v>39</v>
      </c>
      <c r="D88" s="15"/>
      <c r="E88" s="15"/>
      <c r="F88" s="15"/>
      <c r="G88" s="25">
        <v>44518.0</v>
      </c>
      <c r="H88" s="16" t="s">
        <v>39</v>
      </c>
      <c r="I88" s="16" t="s">
        <v>39</v>
      </c>
      <c r="J88" s="38" t="s">
        <v>18</v>
      </c>
      <c r="K88" s="15"/>
      <c r="L88" s="15"/>
      <c r="M88" s="15"/>
    </row>
    <row r="89">
      <c r="A89" s="39">
        <v>1359.0</v>
      </c>
      <c r="B89" s="21" t="s">
        <v>39</v>
      </c>
      <c r="C89" s="21" t="s">
        <v>39</v>
      </c>
      <c r="D89" s="26"/>
      <c r="E89" s="26"/>
      <c r="F89" s="26"/>
      <c r="G89" s="27">
        <v>44519.0</v>
      </c>
      <c r="H89" s="21" t="s">
        <v>39</v>
      </c>
      <c r="I89" s="21" t="s">
        <v>39</v>
      </c>
      <c r="J89" s="39" t="s">
        <v>18</v>
      </c>
      <c r="K89" s="26"/>
      <c r="L89" s="26"/>
      <c r="M89" s="26"/>
    </row>
    <row r="90">
      <c r="A90" s="38">
        <v>1361.0</v>
      </c>
      <c r="B90" s="16" t="s">
        <v>39</v>
      </c>
      <c r="C90" s="16" t="s">
        <v>39</v>
      </c>
      <c r="D90" s="15"/>
      <c r="E90" s="15"/>
      <c r="F90" s="15"/>
      <c r="G90" s="25">
        <v>44529.0</v>
      </c>
      <c r="H90" s="16" t="s">
        <v>39</v>
      </c>
      <c r="I90" s="16" t="s">
        <v>39</v>
      </c>
      <c r="J90" s="38" t="s">
        <v>18</v>
      </c>
      <c r="K90" s="15"/>
      <c r="L90" s="15"/>
      <c r="M90" s="15"/>
    </row>
    <row r="91">
      <c r="A91" s="39">
        <v>1363.0</v>
      </c>
      <c r="B91" s="21" t="s">
        <v>39</v>
      </c>
      <c r="C91" s="21" t="s">
        <v>39</v>
      </c>
      <c r="D91" s="21" t="s">
        <v>14</v>
      </c>
      <c r="E91" s="21"/>
      <c r="F91" s="23" t="s">
        <v>207</v>
      </c>
      <c r="G91" s="43">
        <v>44529.0</v>
      </c>
      <c r="H91" s="21" t="s">
        <v>39</v>
      </c>
      <c r="I91" s="21" t="s">
        <v>39</v>
      </c>
      <c r="J91" s="21" t="s">
        <v>208</v>
      </c>
      <c r="K91" s="21"/>
      <c r="L91" s="21"/>
      <c r="M91" s="21"/>
    </row>
    <row r="92">
      <c r="A92" s="38">
        <v>1365.0</v>
      </c>
      <c r="B92" s="16" t="s">
        <v>39</v>
      </c>
      <c r="C92" s="16" t="s">
        <v>39</v>
      </c>
      <c r="D92" s="16" t="s">
        <v>14</v>
      </c>
      <c r="E92" s="16"/>
      <c r="F92" s="37" t="s">
        <v>207</v>
      </c>
      <c r="G92" s="42">
        <v>44529.0</v>
      </c>
      <c r="H92" s="16" t="s">
        <v>39</v>
      </c>
      <c r="I92" s="16" t="s">
        <v>39</v>
      </c>
      <c r="J92" s="16" t="s">
        <v>208</v>
      </c>
      <c r="K92" s="16"/>
      <c r="L92" s="16"/>
      <c r="M92" s="16"/>
    </row>
    <row r="93">
      <c r="A93" s="39">
        <v>1367.0</v>
      </c>
      <c r="B93" s="21" t="s">
        <v>39</v>
      </c>
      <c r="C93" s="21" t="s">
        <v>39</v>
      </c>
      <c r="D93" s="21" t="s">
        <v>14</v>
      </c>
      <c r="E93" s="21"/>
      <c r="F93" s="23" t="s">
        <v>207</v>
      </c>
      <c r="G93" s="43">
        <v>44529.0</v>
      </c>
      <c r="H93" s="21" t="s">
        <v>39</v>
      </c>
      <c r="I93" s="21" t="s">
        <v>39</v>
      </c>
      <c r="J93" s="21" t="s">
        <v>208</v>
      </c>
      <c r="K93" s="21"/>
      <c r="L93" s="21"/>
      <c r="M93" s="21"/>
    </row>
    <row r="94">
      <c r="A94" s="38">
        <v>1369.0</v>
      </c>
      <c r="B94" s="16" t="s">
        <v>39</v>
      </c>
      <c r="C94" s="16" t="s">
        <v>39</v>
      </c>
      <c r="D94" s="16" t="s">
        <v>14</v>
      </c>
      <c r="E94" s="16"/>
      <c r="F94" s="37" t="s">
        <v>207</v>
      </c>
      <c r="G94" s="42">
        <v>44530.0</v>
      </c>
      <c r="H94" s="16" t="s">
        <v>39</v>
      </c>
      <c r="I94" s="16" t="s">
        <v>39</v>
      </c>
      <c r="J94" s="16" t="s">
        <v>208</v>
      </c>
      <c r="K94" s="16"/>
      <c r="L94" s="16"/>
      <c r="M94" s="16"/>
    </row>
    <row r="95">
      <c r="A95" s="39">
        <v>1371.0</v>
      </c>
      <c r="B95" s="21" t="s">
        <v>39</v>
      </c>
      <c r="C95" s="21" t="s">
        <v>39</v>
      </c>
      <c r="D95" s="21" t="s">
        <v>14</v>
      </c>
      <c r="E95" s="21"/>
      <c r="F95" s="23" t="s">
        <v>207</v>
      </c>
      <c r="G95" s="43">
        <v>44530.0</v>
      </c>
      <c r="H95" s="21" t="s">
        <v>39</v>
      </c>
      <c r="I95" s="21" t="s">
        <v>39</v>
      </c>
      <c r="J95" s="21" t="s">
        <v>208</v>
      </c>
      <c r="K95" s="21"/>
      <c r="L95" s="21"/>
      <c r="M95" s="21"/>
    </row>
    <row r="96">
      <c r="A96" s="38">
        <v>1373.0</v>
      </c>
      <c r="B96" s="16" t="s">
        <v>39</v>
      </c>
      <c r="C96" s="16" t="s">
        <v>39</v>
      </c>
      <c r="D96" s="16" t="s">
        <v>14</v>
      </c>
      <c r="E96" s="16"/>
      <c r="F96" s="37" t="s">
        <v>207</v>
      </c>
      <c r="G96" s="42">
        <v>44530.0</v>
      </c>
      <c r="H96" s="16" t="s">
        <v>39</v>
      </c>
      <c r="I96" s="16" t="s">
        <v>39</v>
      </c>
      <c r="J96" s="16" t="s">
        <v>208</v>
      </c>
      <c r="K96" s="16"/>
      <c r="L96" s="16"/>
      <c r="M96" s="16"/>
    </row>
    <row r="97">
      <c r="A97" s="39">
        <v>1375.0</v>
      </c>
      <c r="B97" s="21" t="s">
        <v>39</v>
      </c>
      <c r="C97" s="21" t="s">
        <v>39</v>
      </c>
      <c r="D97" s="21" t="s">
        <v>14</v>
      </c>
      <c r="E97" s="21"/>
      <c r="F97" s="23" t="s">
        <v>207</v>
      </c>
      <c r="G97" s="43">
        <v>44530.0</v>
      </c>
      <c r="H97" s="21" t="s">
        <v>39</v>
      </c>
      <c r="I97" s="21" t="s">
        <v>39</v>
      </c>
      <c r="J97" s="21" t="s">
        <v>208</v>
      </c>
      <c r="K97" s="21"/>
      <c r="L97" s="21"/>
      <c r="M97" s="21"/>
    </row>
    <row r="98">
      <c r="A98" s="38">
        <v>1395.0</v>
      </c>
      <c r="B98" s="16" t="s">
        <v>39</v>
      </c>
      <c r="C98" s="16" t="s">
        <v>39</v>
      </c>
      <c r="D98" s="16" t="s">
        <v>14</v>
      </c>
      <c r="E98" s="16"/>
      <c r="F98" s="37" t="s">
        <v>207</v>
      </c>
      <c r="G98" s="42">
        <v>44541.0</v>
      </c>
      <c r="H98" s="16" t="s">
        <v>39</v>
      </c>
      <c r="I98" s="16" t="s">
        <v>39</v>
      </c>
      <c r="J98" s="16" t="s">
        <v>208</v>
      </c>
      <c r="K98" s="16" t="s">
        <v>292</v>
      </c>
      <c r="L98" s="16"/>
      <c r="M98" s="16"/>
    </row>
    <row r="99">
      <c r="A99" s="39">
        <v>1377.0</v>
      </c>
      <c r="B99" s="21" t="s">
        <v>39</v>
      </c>
      <c r="C99" s="21" t="s">
        <v>39</v>
      </c>
      <c r="D99" s="39" t="s">
        <v>163</v>
      </c>
      <c r="E99" s="39"/>
      <c r="F99" s="39"/>
      <c r="G99" s="27">
        <v>44530.0</v>
      </c>
      <c r="H99" s="21" t="s">
        <v>39</v>
      </c>
      <c r="I99" s="21" t="s">
        <v>39</v>
      </c>
      <c r="J99" s="21" t="s">
        <v>208</v>
      </c>
      <c r="K99" s="21" t="s">
        <v>293</v>
      </c>
      <c r="L99" s="21"/>
      <c r="M99" s="21"/>
    </row>
    <row r="100">
      <c r="A100" s="38">
        <v>1381.0</v>
      </c>
      <c r="B100" s="16" t="s">
        <v>39</v>
      </c>
      <c r="C100" s="16" t="s">
        <v>39</v>
      </c>
      <c r="D100" s="38" t="s">
        <v>163</v>
      </c>
      <c r="E100" s="38"/>
      <c r="F100" s="38"/>
      <c r="G100" s="25">
        <v>44535.0</v>
      </c>
      <c r="H100" s="16" t="s">
        <v>39</v>
      </c>
      <c r="I100" s="16" t="s">
        <v>39</v>
      </c>
      <c r="J100" s="16" t="s">
        <v>208</v>
      </c>
      <c r="K100" s="16" t="s">
        <v>293</v>
      </c>
      <c r="L100" s="16"/>
      <c r="M100" s="16"/>
    </row>
    <row r="101">
      <c r="A101" s="39">
        <v>1379.0</v>
      </c>
      <c r="B101" s="21" t="s">
        <v>39</v>
      </c>
      <c r="C101" s="21" t="s">
        <v>39</v>
      </c>
      <c r="D101" s="39" t="s">
        <v>35</v>
      </c>
      <c r="E101" s="39"/>
      <c r="F101" s="39"/>
      <c r="G101" s="27">
        <v>44531.0</v>
      </c>
      <c r="H101" s="21" t="s">
        <v>39</v>
      </c>
      <c r="I101" s="21" t="s">
        <v>39</v>
      </c>
      <c r="J101" s="39" t="s">
        <v>18</v>
      </c>
      <c r="K101" s="26"/>
      <c r="L101" s="26"/>
      <c r="M101" s="26"/>
    </row>
    <row r="102">
      <c r="A102" s="38">
        <v>1391.0</v>
      </c>
      <c r="B102" s="16" t="s">
        <v>39</v>
      </c>
      <c r="C102" s="16" t="s">
        <v>39</v>
      </c>
      <c r="D102" s="38" t="s">
        <v>35</v>
      </c>
      <c r="E102" s="38"/>
      <c r="F102" s="38"/>
      <c r="G102" s="25">
        <v>44538.0</v>
      </c>
      <c r="H102" s="16" t="s">
        <v>39</v>
      </c>
      <c r="I102" s="16" t="s">
        <v>39</v>
      </c>
      <c r="J102" s="16" t="s">
        <v>115</v>
      </c>
      <c r="K102" s="16" t="s">
        <v>116</v>
      </c>
      <c r="L102" s="16"/>
      <c r="M102" s="16"/>
    </row>
    <row r="103">
      <c r="A103" s="39">
        <v>1403.0</v>
      </c>
      <c r="B103" s="21" t="s">
        <v>39</v>
      </c>
      <c r="C103" s="21" t="s">
        <v>39</v>
      </c>
      <c r="D103" s="39" t="s">
        <v>14</v>
      </c>
      <c r="E103" s="39"/>
      <c r="F103" s="39" t="s">
        <v>224</v>
      </c>
      <c r="G103" s="47">
        <v>44553.0</v>
      </c>
      <c r="H103" s="21" t="s">
        <v>39</v>
      </c>
      <c r="I103" s="21" t="s">
        <v>39</v>
      </c>
      <c r="J103" s="21" t="s">
        <v>208</v>
      </c>
      <c r="K103" s="21"/>
      <c r="L103" s="21"/>
      <c r="M103" s="21"/>
    </row>
    <row r="104">
      <c r="A104" s="38">
        <v>1413.0</v>
      </c>
      <c r="B104" s="16" t="s">
        <v>39</v>
      </c>
      <c r="C104" s="16" t="s">
        <v>39</v>
      </c>
      <c r="D104" s="38" t="s">
        <v>14</v>
      </c>
      <c r="E104" s="38"/>
      <c r="F104" s="38" t="s">
        <v>224</v>
      </c>
      <c r="G104" s="30">
        <v>44557.0</v>
      </c>
      <c r="H104" s="16" t="s">
        <v>39</v>
      </c>
      <c r="I104" s="16" t="s">
        <v>39</v>
      </c>
      <c r="J104" s="16" t="s">
        <v>208</v>
      </c>
      <c r="K104" s="16"/>
      <c r="L104" s="16"/>
      <c r="M104" s="16"/>
    </row>
    <row r="105">
      <c r="A105" s="39">
        <v>1419.0</v>
      </c>
      <c r="B105" s="21" t="s">
        <v>39</v>
      </c>
      <c r="C105" s="21" t="s">
        <v>39</v>
      </c>
      <c r="D105" s="39" t="s">
        <v>14</v>
      </c>
      <c r="E105" s="39"/>
      <c r="F105" s="39" t="s">
        <v>224</v>
      </c>
      <c r="G105" s="24">
        <v>44561.0</v>
      </c>
      <c r="H105" s="21" t="s">
        <v>39</v>
      </c>
      <c r="I105" s="21" t="s">
        <v>39</v>
      </c>
      <c r="J105" s="21" t="s">
        <v>208</v>
      </c>
      <c r="K105" s="21"/>
      <c r="L105" s="21"/>
      <c r="M105" s="21"/>
    </row>
    <row r="106">
      <c r="A106" s="38">
        <v>1421.0</v>
      </c>
      <c r="B106" s="16" t="s">
        <v>39</v>
      </c>
      <c r="C106" s="16" t="s">
        <v>39</v>
      </c>
      <c r="D106" s="38" t="s">
        <v>14</v>
      </c>
      <c r="E106" s="38"/>
      <c r="F106" s="38" t="s">
        <v>224</v>
      </c>
      <c r="G106" s="30">
        <v>44561.0</v>
      </c>
      <c r="H106" s="16" t="s">
        <v>39</v>
      </c>
      <c r="I106" s="16" t="s">
        <v>39</v>
      </c>
      <c r="J106" s="16" t="s">
        <v>208</v>
      </c>
      <c r="K106" s="16"/>
      <c r="L106" s="16"/>
      <c r="M106" s="16"/>
    </row>
    <row r="107">
      <c r="A107" s="39">
        <v>1445.0</v>
      </c>
      <c r="B107" s="21" t="s">
        <v>39</v>
      </c>
      <c r="C107" s="21" t="s">
        <v>39</v>
      </c>
      <c r="D107" s="39" t="s">
        <v>14</v>
      </c>
      <c r="E107" s="39"/>
      <c r="F107" s="39" t="s">
        <v>224</v>
      </c>
      <c r="G107" s="24">
        <v>44574.0</v>
      </c>
      <c r="H107" s="21" t="s">
        <v>39</v>
      </c>
      <c r="I107" s="21" t="s">
        <v>39</v>
      </c>
      <c r="J107" s="21" t="s">
        <v>208</v>
      </c>
      <c r="K107" s="21"/>
      <c r="L107" s="21"/>
      <c r="M107" s="21"/>
    </row>
    <row r="108">
      <c r="A108" s="38">
        <v>1451.0</v>
      </c>
      <c r="B108" s="16" t="s">
        <v>39</v>
      </c>
      <c r="C108" s="16" t="s">
        <v>39</v>
      </c>
      <c r="D108" s="38" t="s">
        <v>14</v>
      </c>
      <c r="E108" s="38"/>
      <c r="F108" s="38" t="s">
        <v>224</v>
      </c>
      <c r="G108" s="30">
        <v>44580.0</v>
      </c>
      <c r="H108" s="16" t="s">
        <v>39</v>
      </c>
      <c r="I108" s="16" t="s">
        <v>39</v>
      </c>
      <c r="J108" s="16" t="s">
        <v>208</v>
      </c>
      <c r="K108" s="16"/>
      <c r="L108" s="16"/>
      <c r="M108" s="16"/>
    </row>
    <row r="109">
      <c r="A109" s="39">
        <v>1469.0</v>
      </c>
      <c r="B109" s="21" t="s">
        <v>39</v>
      </c>
      <c r="C109" s="21" t="s">
        <v>39</v>
      </c>
      <c r="D109" s="39" t="s">
        <v>14</v>
      </c>
      <c r="E109" s="39"/>
      <c r="F109" s="39" t="s">
        <v>224</v>
      </c>
      <c r="G109" s="24">
        <v>44587.0</v>
      </c>
      <c r="H109" s="21" t="s">
        <v>39</v>
      </c>
      <c r="I109" s="21" t="s">
        <v>39</v>
      </c>
      <c r="J109" s="21" t="s">
        <v>208</v>
      </c>
      <c r="K109" s="21"/>
      <c r="L109" s="21"/>
      <c r="M109" s="21"/>
    </row>
    <row r="110">
      <c r="A110" s="38">
        <v>1453.0</v>
      </c>
      <c r="B110" s="16" t="s">
        <v>39</v>
      </c>
      <c r="C110" s="16" t="s">
        <v>39</v>
      </c>
      <c r="D110" s="38" t="s">
        <v>35</v>
      </c>
      <c r="E110" s="38"/>
      <c r="F110" s="15"/>
      <c r="G110" s="30">
        <v>44582.0</v>
      </c>
      <c r="H110" s="16" t="s">
        <v>39</v>
      </c>
      <c r="I110" s="16" t="s">
        <v>39</v>
      </c>
      <c r="J110" s="38" t="s">
        <v>18</v>
      </c>
      <c r="K110" s="16"/>
      <c r="L110" s="16"/>
      <c r="M110" s="16"/>
    </row>
    <row r="111">
      <c r="A111" s="39">
        <v>1459.0</v>
      </c>
      <c r="B111" s="21" t="s">
        <v>39</v>
      </c>
      <c r="C111" s="21" t="s">
        <v>39</v>
      </c>
      <c r="D111" s="39" t="s">
        <v>35</v>
      </c>
      <c r="E111" s="39"/>
      <c r="F111" s="26"/>
      <c r="G111" s="24">
        <v>44585.0</v>
      </c>
      <c r="H111" s="21" t="s">
        <v>39</v>
      </c>
      <c r="I111" s="21" t="s">
        <v>39</v>
      </c>
      <c r="J111" s="39" t="s">
        <v>18</v>
      </c>
      <c r="K111" s="26"/>
      <c r="L111" s="26"/>
      <c r="M111" s="26"/>
    </row>
    <row r="112">
      <c r="A112" s="38">
        <v>1461.0</v>
      </c>
      <c r="B112" s="16" t="s">
        <v>39</v>
      </c>
      <c r="C112" s="16" t="s">
        <v>39</v>
      </c>
      <c r="D112" s="38" t="s">
        <v>142</v>
      </c>
      <c r="E112" s="38"/>
      <c r="F112" s="15"/>
      <c r="G112" s="30">
        <v>44592.0</v>
      </c>
      <c r="H112" s="16" t="s">
        <v>39</v>
      </c>
      <c r="I112" s="16" t="s">
        <v>39</v>
      </c>
      <c r="J112" s="16" t="s">
        <v>21</v>
      </c>
      <c r="K112" s="28">
        <v>8.1</v>
      </c>
      <c r="L112" s="28"/>
      <c r="M112" s="28"/>
    </row>
    <row r="113">
      <c r="A113" s="39">
        <v>1483.0</v>
      </c>
      <c r="B113" s="21" t="s">
        <v>39</v>
      </c>
      <c r="C113" s="21" t="s">
        <v>39</v>
      </c>
      <c r="D113" s="39" t="s">
        <v>35</v>
      </c>
      <c r="E113" s="39"/>
      <c r="F113" s="26"/>
      <c r="G113" s="24">
        <v>44598.0</v>
      </c>
      <c r="H113" s="21" t="s">
        <v>39</v>
      </c>
      <c r="I113" s="21" t="s">
        <v>39</v>
      </c>
      <c r="J113" s="21" t="s">
        <v>18</v>
      </c>
      <c r="K113" s="26"/>
      <c r="L113" s="26"/>
      <c r="M113" s="26"/>
    </row>
    <row r="114">
      <c r="A114" s="38">
        <v>1491.0</v>
      </c>
      <c r="B114" s="16" t="s">
        <v>39</v>
      </c>
      <c r="C114" s="16" t="s">
        <v>39</v>
      </c>
      <c r="D114" s="38" t="s">
        <v>14</v>
      </c>
      <c r="E114" s="38"/>
      <c r="F114" s="38" t="s">
        <v>180</v>
      </c>
      <c r="G114" s="30">
        <v>44602.0</v>
      </c>
      <c r="H114" s="16" t="s">
        <v>39</v>
      </c>
      <c r="I114" s="16" t="s">
        <v>39</v>
      </c>
      <c r="J114" s="16" t="s">
        <v>208</v>
      </c>
      <c r="K114" s="16" t="s">
        <v>294</v>
      </c>
      <c r="L114" s="16"/>
      <c r="M114" s="16"/>
    </row>
    <row r="115">
      <c r="A115" s="39">
        <v>1497.0</v>
      </c>
      <c r="B115" s="21" t="s">
        <v>39</v>
      </c>
      <c r="C115" s="21" t="s">
        <v>39</v>
      </c>
      <c r="D115" s="39" t="s">
        <v>14</v>
      </c>
      <c r="E115" s="39"/>
      <c r="F115" s="39" t="s">
        <v>243</v>
      </c>
      <c r="G115" s="24">
        <v>44608.0</v>
      </c>
      <c r="H115" s="21" t="s">
        <v>39</v>
      </c>
      <c r="I115" s="21" t="s">
        <v>39</v>
      </c>
      <c r="J115" s="21" t="s">
        <v>18</v>
      </c>
      <c r="K115" s="21"/>
      <c r="L115" s="21"/>
      <c r="M115" s="21"/>
    </row>
    <row r="116">
      <c r="A116" s="16">
        <v>1511.0</v>
      </c>
      <c r="B116" s="16" t="s">
        <v>39</v>
      </c>
      <c r="C116" s="16" t="s">
        <v>39</v>
      </c>
      <c r="D116" s="38" t="s">
        <v>14</v>
      </c>
      <c r="E116" s="38"/>
      <c r="F116" s="38" t="s">
        <v>243</v>
      </c>
      <c r="G116" s="48">
        <v>44610.0</v>
      </c>
      <c r="H116" s="16" t="s">
        <v>39</v>
      </c>
      <c r="I116" s="16" t="s">
        <v>39</v>
      </c>
      <c r="J116" s="16" t="s">
        <v>18</v>
      </c>
      <c r="K116" s="16"/>
      <c r="L116" s="16"/>
      <c r="M116" s="16"/>
    </row>
    <row r="117">
      <c r="A117" s="21">
        <v>1517.0</v>
      </c>
      <c r="B117" s="21" t="s">
        <v>39</v>
      </c>
      <c r="C117" s="21" t="s">
        <v>39</v>
      </c>
      <c r="D117" s="39" t="s">
        <v>14</v>
      </c>
      <c r="E117" s="39"/>
      <c r="F117" s="39" t="s">
        <v>243</v>
      </c>
      <c r="G117" s="49"/>
      <c r="H117" s="21" t="s">
        <v>39</v>
      </c>
      <c r="I117" s="21" t="s">
        <v>39</v>
      </c>
      <c r="J117" s="21" t="s">
        <v>208</v>
      </c>
      <c r="K117" s="21"/>
      <c r="L117" s="21"/>
      <c r="M117" s="21"/>
    </row>
    <row r="118">
      <c r="A118" s="16">
        <v>1489.0</v>
      </c>
      <c r="B118" s="16" t="s">
        <v>39</v>
      </c>
      <c r="C118" s="16" t="s">
        <v>39</v>
      </c>
      <c r="D118" s="16" t="s">
        <v>35</v>
      </c>
      <c r="E118" s="16"/>
      <c r="F118" s="15"/>
      <c r="G118" s="48">
        <v>44617.0</v>
      </c>
      <c r="H118" s="16" t="s">
        <v>39</v>
      </c>
      <c r="I118" s="16" t="s">
        <v>39</v>
      </c>
      <c r="J118" s="16" t="s">
        <v>18</v>
      </c>
      <c r="K118" s="50"/>
      <c r="L118" s="50"/>
      <c r="M118" s="50"/>
    </row>
    <row r="119">
      <c r="A119" s="21">
        <v>1533.0</v>
      </c>
      <c r="B119" s="21" t="s">
        <v>39</v>
      </c>
      <c r="C119" s="21" t="s">
        <v>39</v>
      </c>
      <c r="D119" s="21" t="s">
        <v>163</v>
      </c>
      <c r="E119" s="21"/>
      <c r="F119" s="26"/>
      <c r="G119" s="47">
        <v>44620.0</v>
      </c>
      <c r="H119" s="21" t="s">
        <v>39</v>
      </c>
      <c r="I119" s="21" t="s">
        <v>39</v>
      </c>
      <c r="J119" s="21" t="s">
        <v>18</v>
      </c>
      <c r="K119" s="51"/>
      <c r="L119" s="51"/>
      <c r="M119" s="51"/>
    </row>
    <row r="120">
      <c r="A120" s="16">
        <v>1547.0</v>
      </c>
      <c r="B120" s="16" t="s">
        <v>39</v>
      </c>
      <c r="C120" s="16" t="s">
        <v>39</v>
      </c>
      <c r="D120" s="16" t="s">
        <v>14</v>
      </c>
      <c r="E120" s="16"/>
      <c r="F120" s="16" t="s">
        <v>243</v>
      </c>
      <c r="G120" s="48">
        <v>44624.0</v>
      </c>
      <c r="H120" s="16" t="s">
        <v>39</v>
      </c>
      <c r="I120" s="16" t="s">
        <v>39</v>
      </c>
      <c r="J120" s="16" t="s">
        <v>208</v>
      </c>
      <c r="K120" s="16"/>
      <c r="L120" s="16"/>
      <c r="M120" s="16"/>
    </row>
    <row r="121">
      <c r="A121" s="21">
        <v>1555.0</v>
      </c>
      <c r="B121" s="21" t="s">
        <v>39</v>
      </c>
      <c r="C121" s="21" t="s">
        <v>39</v>
      </c>
      <c r="D121" s="21" t="s">
        <v>14</v>
      </c>
      <c r="E121" s="21"/>
      <c r="F121" s="39" t="s">
        <v>243</v>
      </c>
      <c r="G121" s="47">
        <v>44626.0</v>
      </c>
      <c r="H121" s="21" t="s">
        <v>39</v>
      </c>
      <c r="I121" s="21" t="s">
        <v>39</v>
      </c>
      <c r="J121" s="21" t="s">
        <v>208</v>
      </c>
      <c r="K121" s="21"/>
      <c r="L121" s="21"/>
      <c r="M121" s="21"/>
    </row>
    <row r="122">
      <c r="A122" s="16">
        <v>1529.0</v>
      </c>
      <c r="B122" s="16" t="s">
        <v>39</v>
      </c>
      <c r="C122" s="16" t="s">
        <v>39</v>
      </c>
      <c r="D122" s="16" t="s">
        <v>14</v>
      </c>
      <c r="E122" s="16"/>
      <c r="F122" s="38" t="s">
        <v>243</v>
      </c>
      <c r="G122" s="48">
        <v>44626.0</v>
      </c>
      <c r="H122" s="16" t="s">
        <v>39</v>
      </c>
      <c r="I122" s="16" t="s">
        <v>39</v>
      </c>
      <c r="J122" s="16" t="s">
        <v>208</v>
      </c>
      <c r="K122" s="16"/>
      <c r="L122" s="16"/>
      <c r="M122" s="16"/>
    </row>
    <row r="123">
      <c r="A123" s="21">
        <v>1577.0</v>
      </c>
      <c r="B123" s="21" t="s">
        <v>39</v>
      </c>
      <c r="C123" s="21" t="s">
        <v>39</v>
      </c>
      <c r="D123" s="21" t="s">
        <v>14</v>
      </c>
      <c r="E123" s="21"/>
      <c r="F123" s="21" t="s">
        <v>148</v>
      </c>
      <c r="G123" s="47">
        <v>44641.0</v>
      </c>
      <c r="H123" s="21" t="s">
        <v>39</v>
      </c>
      <c r="I123" s="21" t="s">
        <v>39</v>
      </c>
      <c r="J123" s="21" t="s">
        <v>208</v>
      </c>
      <c r="K123" s="22"/>
      <c r="L123" s="22"/>
      <c r="M123" s="22"/>
    </row>
    <row r="124">
      <c r="A124" s="16">
        <v>1595.0</v>
      </c>
      <c r="B124" s="16" t="s">
        <v>39</v>
      </c>
      <c r="C124" s="16" t="s">
        <v>39</v>
      </c>
      <c r="D124" s="16" t="s">
        <v>14</v>
      </c>
      <c r="E124" s="16"/>
      <c r="F124" s="16" t="s">
        <v>254</v>
      </c>
      <c r="G124" s="52">
        <v>44656.0</v>
      </c>
      <c r="H124" s="16" t="s">
        <v>39</v>
      </c>
      <c r="I124" s="16" t="s">
        <v>39</v>
      </c>
      <c r="J124" s="16" t="s">
        <v>255</v>
      </c>
      <c r="K124" s="28" t="s">
        <v>256</v>
      </c>
      <c r="L124" s="28"/>
      <c r="M124" s="28"/>
    </row>
    <row r="125">
      <c r="A125" s="21">
        <v>1605.0</v>
      </c>
      <c r="B125" s="21" t="s">
        <v>39</v>
      </c>
      <c r="C125" s="21" t="s">
        <v>39</v>
      </c>
      <c r="D125" s="21" t="s">
        <v>14</v>
      </c>
      <c r="E125" s="21"/>
      <c r="F125" s="21" t="s">
        <v>243</v>
      </c>
      <c r="G125" s="47">
        <v>44662.0</v>
      </c>
      <c r="H125" s="21" t="s">
        <v>39</v>
      </c>
      <c r="I125" s="21" t="s">
        <v>39</v>
      </c>
      <c r="J125" s="21" t="s">
        <v>208</v>
      </c>
      <c r="K125" s="51"/>
      <c r="L125" s="51"/>
      <c r="M125" s="51"/>
    </row>
    <row r="126">
      <c r="A126" s="16">
        <v>1611.0</v>
      </c>
      <c r="B126" s="16" t="s">
        <v>39</v>
      </c>
      <c r="C126" s="16" t="s">
        <v>39</v>
      </c>
      <c r="D126" s="16" t="s">
        <v>14</v>
      </c>
      <c r="E126" s="16"/>
      <c r="F126" s="38" t="s">
        <v>243</v>
      </c>
      <c r="G126" s="48">
        <v>44670.0</v>
      </c>
      <c r="H126" s="16" t="s">
        <v>39</v>
      </c>
      <c r="I126" s="16" t="s">
        <v>39</v>
      </c>
      <c r="J126" s="16" t="s">
        <v>208</v>
      </c>
      <c r="K126" s="50"/>
      <c r="L126" s="50"/>
      <c r="M126" s="50"/>
    </row>
    <row r="127">
      <c r="A127" s="21">
        <v>1627.0</v>
      </c>
      <c r="B127" s="21" t="s">
        <v>39</v>
      </c>
      <c r="C127" s="21" t="s">
        <v>39</v>
      </c>
      <c r="D127" s="21" t="s">
        <v>14</v>
      </c>
      <c r="E127" s="21"/>
      <c r="F127" s="21" t="s">
        <v>254</v>
      </c>
      <c r="G127" s="47">
        <v>44677.0</v>
      </c>
      <c r="H127" s="21" t="s">
        <v>39</v>
      </c>
      <c r="I127" s="21" t="s">
        <v>39</v>
      </c>
      <c r="J127" s="21" t="s">
        <v>255</v>
      </c>
      <c r="K127" s="22" t="s">
        <v>256</v>
      </c>
      <c r="L127" s="22"/>
      <c r="M127" s="22"/>
    </row>
    <row r="128">
      <c r="A128" s="16">
        <v>1637.0</v>
      </c>
      <c r="B128" s="16" t="s">
        <v>39</v>
      </c>
      <c r="C128" s="16" t="s">
        <v>39</v>
      </c>
      <c r="D128" s="16" t="s">
        <v>35</v>
      </c>
      <c r="E128" s="16"/>
      <c r="F128" s="53"/>
      <c r="G128" s="54">
        <v>44683.0</v>
      </c>
      <c r="H128" s="16" t="s">
        <v>39</v>
      </c>
      <c r="I128" s="16" t="s">
        <v>39</v>
      </c>
      <c r="J128" s="16" t="s">
        <v>208</v>
      </c>
      <c r="K128" s="50"/>
      <c r="L128" s="50"/>
      <c r="M128" s="50"/>
    </row>
    <row r="129">
      <c r="A129" s="21">
        <v>1641.0</v>
      </c>
      <c r="B129" s="21" t="s">
        <v>39</v>
      </c>
      <c r="C129" s="21" t="s">
        <v>39</v>
      </c>
      <c r="D129" s="21" t="s">
        <v>35</v>
      </c>
      <c r="E129" s="21"/>
      <c r="F129" s="55"/>
      <c r="G129" s="56">
        <v>44684.0</v>
      </c>
      <c r="H129" s="21" t="s">
        <v>39</v>
      </c>
      <c r="I129" s="21" t="s">
        <v>39</v>
      </c>
      <c r="J129" s="21" t="s">
        <v>208</v>
      </c>
      <c r="K129" s="51"/>
      <c r="L129" s="51"/>
      <c r="M129" s="51"/>
    </row>
    <row r="130">
      <c r="A130" s="16">
        <v>1643.0</v>
      </c>
      <c r="B130" s="16" t="s">
        <v>39</v>
      </c>
      <c r="C130" s="16" t="s">
        <v>39</v>
      </c>
      <c r="D130" s="16" t="s">
        <v>142</v>
      </c>
      <c r="E130" s="16"/>
      <c r="F130" s="53"/>
      <c r="G130" s="54">
        <v>44686.0</v>
      </c>
      <c r="H130" s="16" t="s">
        <v>39</v>
      </c>
      <c r="I130" s="16" t="s">
        <v>39</v>
      </c>
      <c r="J130" s="16" t="s">
        <v>18</v>
      </c>
      <c r="K130" s="50"/>
      <c r="L130" s="50"/>
      <c r="M130" s="50"/>
    </row>
    <row r="131">
      <c r="A131" s="21">
        <v>1661.0</v>
      </c>
      <c r="B131" s="21" t="s">
        <v>39</v>
      </c>
      <c r="C131" s="21" t="s">
        <v>39</v>
      </c>
      <c r="D131" s="21" t="s">
        <v>35</v>
      </c>
      <c r="E131" s="21"/>
      <c r="F131" s="55"/>
      <c r="G131" s="57">
        <v>44696.0</v>
      </c>
      <c r="H131" s="21" t="s">
        <v>39</v>
      </c>
      <c r="I131" s="21" t="s">
        <v>39</v>
      </c>
      <c r="J131" s="21" t="s">
        <v>255</v>
      </c>
      <c r="K131" s="51"/>
      <c r="L131" s="51"/>
      <c r="M131" s="51"/>
    </row>
    <row r="132">
      <c r="A132" s="16">
        <v>1665.0</v>
      </c>
      <c r="B132" s="16" t="s">
        <v>39</v>
      </c>
      <c r="C132" s="16" t="s">
        <v>39</v>
      </c>
      <c r="D132" s="16" t="s">
        <v>142</v>
      </c>
      <c r="E132" s="16"/>
      <c r="F132" s="53"/>
      <c r="G132" s="58">
        <v>44703.0</v>
      </c>
      <c r="H132" s="16" t="s">
        <v>39</v>
      </c>
      <c r="I132" s="16" t="s">
        <v>39</v>
      </c>
      <c r="J132" s="16" t="s">
        <v>18</v>
      </c>
      <c r="K132" s="50"/>
      <c r="L132" s="50"/>
      <c r="M132" s="50"/>
    </row>
    <row r="133">
      <c r="A133" s="21">
        <v>1703.0</v>
      </c>
      <c r="B133" s="21" t="s">
        <v>39</v>
      </c>
      <c r="C133" s="21" t="s">
        <v>39</v>
      </c>
      <c r="D133" s="21" t="s">
        <v>35</v>
      </c>
      <c r="E133" s="21"/>
      <c r="F133" s="55"/>
      <c r="G133" s="59">
        <v>44719.0</v>
      </c>
      <c r="H133" s="21" t="s">
        <v>39</v>
      </c>
      <c r="I133" s="21" t="s">
        <v>39</v>
      </c>
      <c r="J133" s="21" t="s">
        <v>255</v>
      </c>
      <c r="K133" s="51"/>
      <c r="L133" s="51"/>
      <c r="M133" s="51"/>
    </row>
    <row r="134">
      <c r="G134" s="60"/>
      <c r="J134" s="61"/>
      <c r="K134" s="62"/>
      <c r="L134" s="62"/>
      <c r="M134" s="62"/>
    </row>
    <row r="135">
      <c r="G135" s="60"/>
      <c r="J135" s="61"/>
      <c r="K135" s="62"/>
      <c r="L135" s="62"/>
      <c r="M135" s="62"/>
    </row>
    <row r="136">
      <c r="G136" s="60"/>
      <c r="J136" s="61"/>
      <c r="K136" s="62"/>
      <c r="L136" s="62"/>
      <c r="M136" s="62"/>
    </row>
    <row r="137">
      <c r="G137" s="60"/>
      <c r="J137" s="61"/>
      <c r="K137" s="62"/>
      <c r="L137" s="62"/>
      <c r="M137" s="62"/>
    </row>
    <row r="138">
      <c r="G138" s="60"/>
      <c r="J138" s="61"/>
      <c r="K138" s="62"/>
      <c r="L138" s="62"/>
      <c r="M138" s="62"/>
    </row>
    <row r="139">
      <c r="G139" s="60"/>
      <c r="J139" s="61"/>
      <c r="K139" s="62"/>
      <c r="L139" s="62"/>
      <c r="M139" s="62"/>
    </row>
    <row r="140">
      <c r="G140" s="60"/>
      <c r="J140" s="61"/>
      <c r="K140" s="62"/>
      <c r="L140" s="62"/>
      <c r="M140" s="62"/>
    </row>
    <row r="141">
      <c r="G141" s="60"/>
      <c r="J141" s="61"/>
      <c r="K141" s="62"/>
      <c r="L141" s="62"/>
      <c r="M141" s="62"/>
    </row>
    <row r="142">
      <c r="G142" s="60"/>
      <c r="J142" s="61"/>
      <c r="K142" s="62"/>
      <c r="L142" s="62"/>
      <c r="M142" s="62"/>
    </row>
    <row r="143">
      <c r="G143" s="60"/>
      <c r="J143" s="61"/>
      <c r="K143" s="62"/>
      <c r="L143" s="62"/>
      <c r="M143" s="62"/>
    </row>
    <row r="144">
      <c r="G144" s="60"/>
      <c r="J144" s="61"/>
      <c r="K144" s="62"/>
      <c r="L144" s="62"/>
      <c r="M144" s="62"/>
    </row>
    <row r="145">
      <c r="G145" s="60"/>
      <c r="J145" s="61"/>
      <c r="K145" s="62"/>
      <c r="L145" s="62"/>
      <c r="M145" s="62"/>
    </row>
    <row r="146">
      <c r="G146" s="60"/>
      <c r="J146" s="61"/>
      <c r="K146" s="62"/>
      <c r="L146" s="62"/>
      <c r="M146" s="62"/>
    </row>
    <row r="147">
      <c r="G147" s="60"/>
      <c r="J147" s="61"/>
      <c r="K147" s="62"/>
      <c r="L147" s="62"/>
      <c r="M147" s="62"/>
    </row>
    <row r="148">
      <c r="G148" s="60"/>
      <c r="J148" s="61"/>
      <c r="K148" s="62"/>
      <c r="L148" s="62"/>
      <c r="M148" s="62"/>
    </row>
    <row r="149">
      <c r="G149" s="60"/>
      <c r="J149" s="61"/>
      <c r="K149" s="62"/>
      <c r="L149" s="62"/>
      <c r="M149" s="62"/>
    </row>
    <row r="150">
      <c r="G150" s="60"/>
      <c r="J150" s="61"/>
      <c r="K150" s="62"/>
      <c r="L150" s="62"/>
      <c r="M150" s="62"/>
    </row>
    <row r="151">
      <c r="G151" s="60"/>
      <c r="J151" s="61"/>
      <c r="K151" s="62"/>
      <c r="L151" s="62"/>
      <c r="M151" s="62"/>
    </row>
    <row r="152">
      <c r="G152" s="60"/>
      <c r="J152" s="61"/>
      <c r="K152" s="62"/>
      <c r="L152" s="62"/>
      <c r="M152" s="62"/>
    </row>
    <row r="153">
      <c r="G153" s="60"/>
      <c r="J153" s="61"/>
      <c r="K153" s="62"/>
      <c r="L153" s="62"/>
      <c r="M153" s="62"/>
    </row>
    <row r="154">
      <c r="G154" s="60"/>
      <c r="J154" s="61"/>
      <c r="K154" s="62"/>
      <c r="L154" s="62"/>
      <c r="M154" s="62"/>
    </row>
    <row r="155">
      <c r="G155" s="60"/>
      <c r="J155" s="61"/>
      <c r="K155" s="62"/>
      <c r="L155" s="62"/>
      <c r="M155" s="62"/>
    </row>
    <row r="156">
      <c r="G156" s="60"/>
      <c r="J156" s="61"/>
      <c r="K156" s="62"/>
      <c r="L156" s="62"/>
      <c r="M156" s="62"/>
    </row>
    <row r="157">
      <c r="G157" s="60"/>
      <c r="J157" s="61"/>
      <c r="K157" s="62"/>
      <c r="L157" s="62"/>
      <c r="M157" s="62"/>
    </row>
    <row r="158">
      <c r="G158" s="60"/>
      <c r="J158" s="61"/>
      <c r="K158" s="62"/>
      <c r="L158" s="62"/>
      <c r="M158" s="62"/>
    </row>
    <row r="159">
      <c r="G159" s="60"/>
      <c r="J159" s="61"/>
      <c r="K159" s="62"/>
      <c r="L159" s="62"/>
      <c r="M159" s="62"/>
    </row>
    <row r="160">
      <c r="G160" s="60"/>
      <c r="J160" s="61"/>
      <c r="K160" s="62"/>
      <c r="L160" s="62"/>
      <c r="M160" s="62"/>
    </row>
    <row r="161">
      <c r="G161" s="60"/>
      <c r="J161" s="61"/>
      <c r="K161" s="62"/>
      <c r="L161" s="62"/>
      <c r="M161" s="62"/>
    </row>
    <row r="162">
      <c r="G162" s="60"/>
      <c r="J162" s="61"/>
      <c r="K162" s="62"/>
      <c r="L162" s="62"/>
      <c r="M162" s="62"/>
    </row>
    <row r="163">
      <c r="G163" s="60"/>
      <c r="J163" s="61"/>
      <c r="K163" s="62"/>
      <c r="L163" s="62"/>
      <c r="M163" s="62"/>
    </row>
    <row r="164">
      <c r="G164" s="60"/>
      <c r="J164" s="61"/>
      <c r="K164" s="62"/>
      <c r="L164" s="62"/>
      <c r="M164" s="62"/>
    </row>
    <row r="165">
      <c r="G165" s="60"/>
      <c r="J165" s="61"/>
      <c r="K165" s="62"/>
      <c r="L165" s="62"/>
      <c r="M165" s="62"/>
    </row>
    <row r="166">
      <c r="G166" s="60"/>
      <c r="J166" s="61"/>
      <c r="K166" s="62"/>
      <c r="L166" s="62"/>
      <c r="M166" s="62"/>
    </row>
    <row r="167">
      <c r="G167" s="60"/>
      <c r="J167" s="61"/>
      <c r="K167" s="62"/>
      <c r="L167" s="62"/>
      <c r="M167" s="62"/>
    </row>
    <row r="168">
      <c r="G168" s="60"/>
      <c r="J168" s="61"/>
      <c r="K168" s="62"/>
      <c r="L168" s="62"/>
      <c r="M168" s="62"/>
    </row>
    <row r="169">
      <c r="G169" s="60"/>
      <c r="J169" s="61"/>
      <c r="K169" s="62"/>
      <c r="L169" s="62"/>
      <c r="M169" s="62"/>
    </row>
    <row r="170">
      <c r="G170" s="60"/>
      <c r="J170" s="61"/>
      <c r="K170" s="62"/>
      <c r="L170" s="62"/>
      <c r="M170" s="62"/>
    </row>
    <row r="171">
      <c r="G171" s="60"/>
      <c r="J171" s="61"/>
      <c r="K171" s="62"/>
      <c r="L171" s="62"/>
      <c r="M171" s="62"/>
    </row>
    <row r="172">
      <c r="G172" s="60"/>
      <c r="J172" s="61"/>
      <c r="K172" s="62"/>
      <c r="L172" s="62"/>
      <c r="M172" s="62"/>
    </row>
    <row r="173">
      <c r="G173" s="60"/>
      <c r="J173" s="61"/>
      <c r="K173" s="62"/>
      <c r="L173" s="62"/>
      <c r="M173" s="62"/>
    </row>
    <row r="174">
      <c r="G174" s="60"/>
      <c r="J174" s="61"/>
      <c r="K174" s="62"/>
      <c r="L174" s="62"/>
      <c r="M174" s="62"/>
    </row>
    <row r="175">
      <c r="G175" s="60"/>
      <c r="J175" s="61"/>
      <c r="K175" s="62"/>
      <c r="L175" s="62"/>
      <c r="M175" s="62"/>
    </row>
    <row r="176">
      <c r="G176" s="60"/>
      <c r="J176" s="61"/>
      <c r="K176" s="62"/>
      <c r="L176" s="62"/>
      <c r="M176" s="62"/>
    </row>
    <row r="177">
      <c r="G177" s="60"/>
      <c r="J177" s="61"/>
      <c r="K177" s="62"/>
      <c r="L177" s="62"/>
      <c r="M177" s="62"/>
    </row>
    <row r="178">
      <c r="G178" s="60"/>
      <c r="J178" s="61"/>
      <c r="K178" s="62"/>
      <c r="L178" s="62"/>
      <c r="M178" s="62"/>
    </row>
    <row r="179">
      <c r="G179" s="60"/>
      <c r="J179" s="61"/>
      <c r="K179" s="62"/>
      <c r="L179" s="62"/>
      <c r="M179" s="62"/>
    </row>
    <row r="180">
      <c r="G180" s="60"/>
      <c r="J180" s="61"/>
      <c r="K180" s="62"/>
      <c r="L180" s="62"/>
      <c r="M180" s="62"/>
    </row>
    <row r="181">
      <c r="G181" s="60"/>
      <c r="J181" s="61"/>
      <c r="K181" s="62"/>
      <c r="L181" s="62"/>
      <c r="M181" s="62"/>
    </row>
    <row r="182">
      <c r="G182" s="60"/>
      <c r="J182" s="61"/>
      <c r="K182" s="62"/>
      <c r="L182" s="62"/>
      <c r="M182" s="62"/>
    </row>
    <row r="183">
      <c r="G183" s="60"/>
      <c r="J183" s="61"/>
      <c r="K183" s="62"/>
      <c r="L183" s="62"/>
      <c r="M183" s="62"/>
    </row>
    <row r="184">
      <c r="G184" s="60"/>
      <c r="J184" s="61"/>
      <c r="K184" s="62"/>
      <c r="L184" s="62"/>
      <c r="M184" s="62"/>
    </row>
    <row r="185">
      <c r="G185" s="60"/>
      <c r="J185" s="61"/>
      <c r="K185" s="62"/>
      <c r="L185" s="62"/>
      <c r="M185" s="62"/>
    </row>
    <row r="186">
      <c r="G186" s="60"/>
      <c r="J186" s="61"/>
      <c r="K186" s="62"/>
      <c r="L186" s="62"/>
      <c r="M186" s="62"/>
    </row>
    <row r="187">
      <c r="G187" s="60"/>
      <c r="J187" s="61"/>
      <c r="K187" s="62"/>
      <c r="L187" s="62"/>
      <c r="M187" s="62"/>
    </row>
    <row r="188">
      <c r="G188" s="60"/>
      <c r="J188" s="61"/>
      <c r="K188" s="62"/>
      <c r="L188" s="62"/>
      <c r="M188" s="62"/>
    </row>
    <row r="189">
      <c r="G189" s="60"/>
      <c r="J189" s="61"/>
      <c r="K189" s="62"/>
      <c r="L189" s="62"/>
      <c r="M189" s="62"/>
    </row>
    <row r="190">
      <c r="G190" s="60"/>
      <c r="J190" s="61"/>
      <c r="K190" s="62"/>
      <c r="L190" s="62"/>
      <c r="M190" s="62"/>
    </row>
    <row r="191">
      <c r="G191" s="60"/>
      <c r="J191" s="61"/>
      <c r="K191" s="62"/>
      <c r="L191" s="62"/>
      <c r="M191" s="62"/>
    </row>
    <row r="192">
      <c r="G192" s="60"/>
      <c r="J192" s="61"/>
      <c r="K192" s="62"/>
      <c r="L192" s="62"/>
      <c r="M192" s="62"/>
    </row>
    <row r="193">
      <c r="G193" s="60"/>
      <c r="J193" s="61"/>
      <c r="K193" s="62"/>
      <c r="L193" s="62"/>
      <c r="M193" s="62"/>
    </row>
    <row r="194">
      <c r="G194" s="60"/>
      <c r="J194" s="61"/>
      <c r="K194" s="62"/>
      <c r="L194" s="62"/>
      <c r="M194" s="62"/>
    </row>
    <row r="195">
      <c r="G195" s="60"/>
      <c r="J195" s="61"/>
      <c r="K195" s="62"/>
      <c r="L195" s="62"/>
      <c r="M195" s="62"/>
    </row>
    <row r="196">
      <c r="G196" s="60"/>
      <c r="J196" s="61"/>
      <c r="K196" s="62"/>
      <c r="L196" s="62"/>
      <c r="M196" s="62"/>
    </row>
    <row r="197">
      <c r="G197" s="60"/>
      <c r="J197" s="61"/>
      <c r="K197" s="62"/>
      <c r="L197" s="62"/>
      <c r="M197" s="62"/>
    </row>
    <row r="198">
      <c r="G198" s="60"/>
      <c r="J198" s="61"/>
      <c r="K198" s="62"/>
      <c r="L198" s="62"/>
      <c r="M198" s="62"/>
    </row>
    <row r="199">
      <c r="G199" s="60"/>
      <c r="J199" s="61"/>
      <c r="K199" s="62"/>
      <c r="L199" s="62"/>
      <c r="M199" s="62"/>
    </row>
    <row r="200">
      <c r="G200" s="60"/>
      <c r="J200" s="61"/>
      <c r="K200" s="62"/>
      <c r="L200" s="62"/>
      <c r="M200" s="62"/>
    </row>
    <row r="201">
      <c r="G201" s="60"/>
      <c r="J201" s="61"/>
      <c r="K201" s="62"/>
      <c r="L201" s="62"/>
      <c r="M201" s="62"/>
    </row>
    <row r="202">
      <c r="G202" s="60"/>
      <c r="J202" s="61"/>
      <c r="K202" s="62"/>
      <c r="L202" s="62"/>
      <c r="M202" s="62"/>
    </row>
    <row r="203">
      <c r="G203" s="60"/>
      <c r="J203" s="61"/>
      <c r="K203" s="62"/>
      <c r="L203" s="62"/>
      <c r="M203" s="62"/>
    </row>
    <row r="204">
      <c r="G204" s="60"/>
      <c r="J204" s="61"/>
      <c r="K204" s="62"/>
      <c r="L204" s="62"/>
      <c r="M204" s="62"/>
    </row>
    <row r="205">
      <c r="G205" s="60"/>
      <c r="J205" s="61"/>
      <c r="K205" s="62"/>
      <c r="L205" s="62"/>
      <c r="M205" s="62"/>
    </row>
    <row r="206">
      <c r="G206" s="60"/>
      <c r="J206" s="61"/>
      <c r="K206" s="62"/>
      <c r="L206" s="62"/>
      <c r="M206" s="62"/>
    </row>
    <row r="207">
      <c r="G207" s="60"/>
      <c r="J207" s="61"/>
      <c r="K207" s="62"/>
      <c r="L207" s="62"/>
      <c r="M207" s="62"/>
    </row>
    <row r="208">
      <c r="G208" s="60"/>
      <c r="J208" s="61"/>
      <c r="K208" s="62"/>
      <c r="L208" s="62"/>
      <c r="M208" s="62"/>
    </row>
    <row r="209">
      <c r="G209" s="60"/>
      <c r="J209" s="61"/>
      <c r="K209" s="62"/>
      <c r="L209" s="62"/>
      <c r="M209" s="62"/>
    </row>
    <row r="210">
      <c r="G210" s="60"/>
      <c r="J210" s="61"/>
      <c r="K210" s="62"/>
      <c r="L210" s="62"/>
      <c r="M210" s="62"/>
    </row>
    <row r="211">
      <c r="G211" s="60"/>
      <c r="J211" s="61"/>
      <c r="K211" s="62"/>
      <c r="L211" s="62"/>
      <c r="M211" s="62"/>
    </row>
    <row r="212">
      <c r="G212" s="60"/>
      <c r="J212" s="61"/>
      <c r="K212" s="62"/>
      <c r="L212" s="62"/>
      <c r="M212" s="62"/>
    </row>
    <row r="213">
      <c r="G213" s="60"/>
      <c r="J213" s="61"/>
      <c r="K213" s="62"/>
      <c r="L213" s="62"/>
      <c r="M213" s="62"/>
    </row>
    <row r="214">
      <c r="G214" s="60"/>
      <c r="J214" s="61"/>
      <c r="K214" s="62"/>
      <c r="L214" s="62"/>
      <c r="M214" s="62"/>
    </row>
    <row r="215">
      <c r="G215" s="60"/>
      <c r="J215" s="61"/>
      <c r="K215" s="62"/>
      <c r="L215" s="62"/>
      <c r="M215" s="62"/>
    </row>
    <row r="216">
      <c r="G216" s="60"/>
      <c r="J216" s="61"/>
      <c r="K216" s="62"/>
      <c r="L216" s="62"/>
      <c r="M216" s="62"/>
    </row>
    <row r="217">
      <c r="G217" s="60"/>
      <c r="J217" s="61"/>
      <c r="K217" s="62"/>
      <c r="L217" s="62"/>
      <c r="M217" s="62"/>
    </row>
    <row r="218">
      <c r="G218" s="60"/>
      <c r="J218" s="61"/>
      <c r="K218" s="62"/>
      <c r="L218" s="62"/>
      <c r="M218" s="62"/>
    </row>
    <row r="219">
      <c r="G219" s="60"/>
      <c r="J219" s="61"/>
      <c r="K219" s="62"/>
      <c r="L219" s="62"/>
      <c r="M219" s="62"/>
    </row>
    <row r="220">
      <c r="G220" s="60"/>
      <c r="J220" s="61"/>
      <c r="K220" s="62"/>
      <c r="L220" s="62"/>
      <c r="M220" s="62"/>
    </row>
    <row r="221">
      <c r="G221" s="60"/>
      <c r="J221" s="61"/>
      <c r="K221" s="62"/>
      <c r="L221" s="62"/>
      <c r="M221" s="62"/>
    </row>
    <row r="222">
      <c r="G222" s="60"/>
      <c r="J222" s="61"/>
      <c r="K222" s="62"/>
      <c r="L222" s="62"/>
      <c r="M222" s="62"/>
    </row>
    <row r="223">
      <c r="G223" s="60"/>
      <c r="J223" s="61"/>
      <c r="K223" s="62"/>
      <c r="L223" s="62"/>
      <c r="M223" s="62"/>
    </row>
    <row r="224">
      <c r="G224" s="60"/>
      <c r="J224" s="61"/>
      <c r="K224" s="62"/>
      <c r="L224" s="62"/>
      <c r="M224" s="62"/>
    </row>
    <row r="225">
      <c r="G225" s="60"/>
      <c r="J225" s="61"/>
      <c r="K225" s="62"/>
      <c r="L225" s="62"/>
      <c r="M225" s="62"/>
    </row>
    <row r="226">
      <c r="G226" s="60"/>
      <c r="J226" s="61"/>
      <c r="K226" s="62"/>
      <c r="L226" s="62"/>
      <c r="M226" s="62"/>
    </row>
    <row r="227">
      <c r="G227" s="60"/>
      <c r="J227" s="61"/>
      <c r="K227" s="62"/>
      <c r="L227" s="62"/>
      <c r="M227" s="62"/>
    </row>
    <row r="228">
      <c r="G228" s="60"/>
      <c r="J228" s="61"/>
      <c r="K228" s="62"/>
      <c r="L228" s="62"/>
      <c r="M228" s="62"/>
    </row>
    <row r="229">
      <c r="G229" s="60"/>
      <c r="J229" s="61"/>
      <c r="K229" s="62"/>
      <c r="L229" s="62"/>
      <c r="M229" s="62"/>
    </row>
    <row r="230">
      <c r="G230" s="60"/>
      <c r="J230" s="61"/>
      <c r="K230" s="62"/>
      <c r="L230" s="62"/>
      <c r="M230" s="62"/>
    </row>
    <row r="231">
      <c r="G231" s="60"/>
      <c r="J231" s="61"/>
      <c r="K231" s="62"/>
      <c r="L231" s="62"/>
      <c r="M231" s="62"/>
    </row>
    <row r="232">
      <c r="G232" s="60"/>
      <c r="J232" s="61"/>
      <c r="K232" s="62"/>
      <c r="L232" s="62"/>
      <c r="M232" s="62"/>
    </row>
    <row r="233">
      <c r="G233" s="60"/>
      <c r="J233" s="61"/>
      <c r="K233" s="62"/>
      <c r="L233" s="62"/>
      <c r="M233" s="62"/>
    </row>
    <row r="234">
      <c r="G234" s="60"/>
      <c r="J234" s="61"/>
      <c r="K234" s="62"/>
      <c r="L234" s="62"/>
      <c r="M234" s="62"/>
    </row>
    <row r="235">
      <c r="G235" s="60"/>
      <c r="J235" s="61"/>
      <c r="K235" s="62"/>
      <c r="L235" s="62"/>
      <c r="M235" s="62"/>
    </row>
    <row r="236">
      <c r="G236" s="60"/>
      <c r="J236" s="61"/>
      <c r="K236" s="62"/>
      <c r="L236" s="62"/>
      <c r="M236" s="62"/>
    </row>
    <row r="237">
      <c r="G237" s="60"/>
      <c r="J237" s="61"/>
      <c r="K237" s="62"/>
      <c r="L237" s="62"/>
      <c r="M237" s="62"/>
    </row>
    <row r="238">
      <c r="G238" s="60"/>
      <c r="J238" s="61"/>
      <c r="K238" s="62"/>
      <c r="L238" s="62"/>
      <c r="M238" s="62"/>
    </row>
    <row r="239">
      <c r="G239" s="60"/>
      <c r="J239" s="61"/>
      <c r="K239" s="62"/>
      <c r="L239" s="62"/>
      <c r="M239" s="62"/>
    </row>
    <row r="240">
      <c r="G240" s="60"/>
      <c r="J240" s="61"/>
      <c r="K240" s="62"/>
      <c r="L240" s="62"/>
      <c r="M240" s="62"/>
    </row>
    <row r="241">
      <c r="G241" s="60"/>
      <c r="J241" s="61"/>
      <c r="K241" s="62"/>
      <c r="L241" s="62"/>
      <c r="M241" s="62"/>
    </row>
    <row r="242">
      <c r="G242" s="60"/>
      <c r="J242" s="61"/>
      <c r="K242" s="62"/>
      <c r="L242" s="62"/>
      <c r="M242" s="62"/>
    </row>
    <row r="243">
      <c r="G243" s="60"/>
      <c r="J243" s="61"/>
      <c r="K243" s="62"/>
      <c r="L243" s="62"/>
      <c r="M243" s="62"/>
    </row>
    <row r="244">
      <c r="G244" s="60"/>
      <c r="J244" s="61"/>
      <c r="K244" s="62"/>
      <c r="L244" s="62"/>
      <c r="M244" s="62"/>
    </row>
    <row r="245">
      <c r="G245" s="60"/>
      <c r="J245" s="61"/>
      <c r="K245" s="62"/>
      <c r="L245" s="62"/>
      <c r="M245" s="62"/>
    </row>
    <row r="246">
      <c r="G246" s="60"/>
      <c r="J246" s="61"/>
      <c r="K246" s="62"/>
      <c r="L246" s="62"/>
      <c r="M246" s="62"/>
    </row>
    <row r="247">
      <c r="G247" s="60"/>
      <c r="J247" s="61"/>
      <c r="K247" s="62"/>
      <c r="L247" s="62"/>
      <c r="M247" s="62"/>
    </row>
    <row r="248">
      <c r="G248" s="60"/>
      <c r="J248" s="61"/>
      <c r="K248" s="62"/>
      <c r="L248" s="62"/>
      <c r="M248" s="62"/>
    </row>
    <row r="249">
      <c r="G249" s="60"/>
      <c r="J249" s="61"/>
      <c r="K249" s="62"/>
      <c r="L249" s="62"/>
      <c r="M249" s="62"/>
    </row>
    <row r="250">
      <c r="G250" s="60"/>
      <c r="J250" s="61"/>
      <c r="K250" s="62"/>
      <c r="L250" s="62"/>
      <c r="M250" s="62"/>
    </row>
    <row r="251">
      <c r="G251" s="60"/>
      <c r="J251" s="61"/>
      <c r="K251" s="62"/>
      <c r="L251" s="62"/>
      <c r="M251" s="62"/>
    </row>
    <row r="252">
      <c r="G252" s="60"/>
      <c r="J252" s="61"/>
      <c r="K252" s="62"/>
      <c r="L252" s="62"/>
      <c r="M252" s="62"/>
    </row>
    <row r="253">
      <c r="G253" s="60"/>
      <c r="J253" s="61"/>
      <c r="K253" s="62"/>
      <c r="L253" s="62"/>
      <c r="M253" s="62"/>
    </row>
    <row r="254">
      <c r="G254" s="60"/>
      <c r="J254" s="61"/>
      <c r="K254" s="62"/>
      <c r="L254" s="62"/>
      <c r="M254" s="62"/>
    </row>
    <row r="255">
      <c r="G255" s="60"/>
      <c r="J255" s="61"/>
      <c r="K255" s="62"/>
      <c r="L255" s="62"/>
      <c r="M255" s="62"/>
    </row>
    <row r="256">
      <c r="G256" s="60"/>
      <c r="J256" s="61"/>
      <c r="K256" s="62"/>
      <c r="L256" s="62"/>
      <c r="M256" s="62"/>
    </row>
    <row r="257">
      <c r="G257" s="60"/>
      <c r="J257" s="61"/>
      <c r="K257" s="62"/>
      <c r="L257" s="62"/>
      <c r="M257" s="62"/>
    </row>
    <row r="258">
      <c r="G258" s="60"/>
      <c r="J258" s="61"/>
      <c r="K258" s="62"/>
      <c r="L258" s="62"/>
      <c r="M258" s="62"/>
    </row>
    <row r="259">
      <c r="G259" s="60"/>
      <c r="J259" s="61"/>
      <c r="K259" s="62"/>
      <c r="L259" s="62"/>
      <c r="M259" s="62"/>
    </row>
    <row r="260">
      <c r="G260" s="60"/>
      <c r="J260" s="61"/>
      <c r="K260" s="62"/>
      <c r="L260" s="62"/>
      <c r="M260" s="62"/>
    </row>
    <row r="261">
      <c r="G261" s="60"/>
      <c r="J261" s="61"/>
      <c r="K261" s="62"/>
      <c r="L261" s="62"/>
      <c r="M261" s="62"/>
    </row>
    <row r="262">
      <c r="G262" s="60"/>
      <c r="J262" s="61"/>
      <c r="K262" s="62"/>
      <c r="L262" s="62"/>
      <c r="M262" s="62"/>
    </row>
    <row r="263">
      <c r="G263" s="60"/>
      <c r="J263" s="61"/>
      <c r="K263" s="62"/>
      <c r="L263" s="62"/>
      <c r="M263" s="62"/>
    </row>
    <row r="264">
      <c r="G264" s="60"/>
      <c r="J264" s="61"/>
      <c r="K264" s="62"/>
      <c r="L264" s="62"/>
      <c r="M264" s="62"/>
    </row>
    <row r="265">
      <c r="G265" s="60"/>
      <c r="J265" s="61"/>
      <c r="K265" s="62"/>
      <c r="L265" s="62"/>
      <c r="M265" s="62"/>
    </row>
    <row r="266">
      <c r="G266" s="60"/>
      <c r="J266" s="61"/>
      <c r="K266" s="62"/>
      <c r="L266" s="62"/>
      <c r="M266" s="62"/>
    </row>
    <row r="267">
      <c r="G267" s="60"/>
      <c r="J267" s="61"/>
      <c r="K267" s="62"/>
      <c r="L267" s="62"/>
      <c r="M267" s="62"/>
    </row>
    <row r="268">
      <c r="G268" s="60"/>
      <c r="J268" s="61"/>
      <c r="K268" s="62"/>
      <c r="L268" s="62"/>
      <c r="M268" s="62"/>
    </row>
    <row r="269">
      <c r="G269" s="60"/>
      <c r="J269" s="61"/>
      <c r="K269" s="62"/>
      <c r="L269" s="62"/>
      <c r="M269" s="62"/>
    </row>
    <row r="270">
      <c r="G270" s="60"/>
      <c r="J270" s="61"/>
      <c r="K270" s="62"/>
      <c r="L270" s="62"/>
      <c r="M270" s="62"/>
    </row>
    <row r="271">
      <c r="G271" s="60"/>
      <c r="J271" s="61"/>
      <c r="K271" s="62"/>
      <c r="L271" s="62"/>
      <c r="M271" s="62"/>
    </row>
    <row r="272">
      <c r="G272" s="60"/>
      <c r="J272" s="61"/>
      <c r="K272" s="62"/>
      <c r="L272" s="62"/>
      <c r="M272" s="62"/>
    </row>
    <row r="273">
      <c r="G273" s="60"/>
      <c r="J273" s="61"/>
      <c r="K273" s="62"/>
      <c r="L273" s="62"/>
      <c r="M273" s="62"/>
    </row>
    <row r="274">
      <c r="G274" s="60"/>
      <c r="J274" s="61"/>
      <c r="K274" s="62"/>
      <c r="L274" s="62"/>
      <c r="M274" s="62"/>
    </row>
    <row r="275">
      <c r="G275" s="60"/>
      <c r="J275" s="61"/>
      <c r="K275" s="62"/>
      <c r="L275" s="62"/>
      <c r="M275" s="62"/>
    </row>
    <row r="276">
      <c r="G276" s="60"/>
      <c r="J276" s="61"/>
      <c r="K276" s="62"/>
      <c r="L276" s="62"/>
      <c r="M276" s="62"/>
    </row>
    <row r="277">
      <c r="G277" s="60"/>
      <c r="J277" s="61"/>
      <c r="K277" s="62"/>
      <c r="L277" s="62"/>
      <c r="M277" s="62"/>
    </row>
    <row r="278">
      <c r="G278" s="60"/>
      <c r="J278" s="61"/>
      <c r="K278" s="62"/>
      <c r="L278" s="62"/>
      <c r="M278" s="62"/>
    </row>
    <row r="279">
      <c r="G279" s="60"/>
      <c r="J279" s="61"/>
      <c r="K279" s="62"/>
      <c r="L279" s="62"/>
      <c r="M279" s="62"/>
    </row>
    <row r="280">
      <c r="G280" s="60"/>
      <c r="J280" s="61"/>
      <c r="K280" s="62"/>
      <c r="L280" s="62"/>
      <c r="M280" s="62"/>
    </row>
    <row r="281">
      <c r="G281" s="60"/>
      <c r="J281" s="61"/>
      <c r="K281" s="62"/>
      <c r="L281" s="62"/>
      <c r="M281" s="62"/>
    </row>
    <row r="282">
      <c r="G282" s="60"/>
      <c r="J282" s="61"/>
      <c r="K282" s="62"/>
      <c r="L282" s="62"/>
      <c r="M282" s="62"/>
    </row>
    <row r="283">
      <c r="G283" s="60"/>
      <c r="J283" s="61"/>
      <c r="K283" s="62"/>
      <c r="L283" s="62"/>
      <c r="M283" s="62"/>
    </row>
    <row r="284">
      <c r="G284" s="60"/>
      <c r="J284" s="61"/>
      <c r="K284" s="62"/>
      <c r="L284" s="62"/>
      <c r="M284" s="62"/>
    </row>
    <row r="285">
      <c r="G285" s="60"/>
      <c r="J285" s="61"/>
      <c r="K285" s="62"/>
      <c r="L285" s="62"/>
      <c r="M285" s="62"/>
    </row>
    <row r="286">
      <c r="G286" s="60"/>
      <c r="J286" s="61"/>
      <c r="K286" s="62"/>
      <c r="L286" s="62"/>
      <c r="M286" s="62"/>
    </row>
    <row r="287">
      <c r="G287" s="60"/>
      <c r="J287" s="61"/>
      <c r="K287" s="62"/>
      <c r="L287" s="62"/>
      <c r="M287" s="62"/>
    </row>
    <row r="288">
      <c r="G288" s="60"/>
      <c r="J288" s="61"/>
      <c r="K288" s="62"/>
      <c r="L288" s="62"/>
      <c r="M288" s="62"/>
    </row>
    <row r="289">
      <c r="G289" s="60"/>
      <c r="J289" s="61"/>
      <c r="K289" s="62"/>
      <c r="L289" s="62"/>
      <c r="M289" s="62"/>
    </row>
    <row r="290">
      <c r="G290" s="60"/>
      <c r="J290" s="61"/>
      <c r="K290" s="62"/>
      <c r="L290" s="62"/>
      <c r="M290" s="62"/>
    </row>
    <row r="291">
      <c r="G291" s="60"/>
      <c r="J291" s="61"/>
      <c r="K291" s="62"/>
      <c r="L291" s="62"/>
      <c r="M291" s="62"/>
    </row>
    <row r="292">
      <c r="G292" s="60"/>
      <c r="J292" s="61"/>
      <c r="K292" s="62"/>
      <c r="L292" s="62"/>
      <c r="M292" s="62"/>
    </row>
    <row r="293">
      <c r="G293" s="60"/>
      <c r="J293" s="61"/>
      <c r="K293" s="62"/>
      <c r="L293" s="62"/>
      <c r="M293" s="62"/>
    </row>
    <row r="294">
      <c r="G294" s="60"/>
      <c r="J294" s="61"/>
      <c r="K294" s="62"/>
      <c r="L294" s="62"/>
      <c r="M294" s="62"/>
    </row>
    <row r="295">
      <c r="G295" s="60"/>
      <c r="J295" s="61"/>
      <c r="K295" s="62"/>
      <c r="L295" s="62"/>
      <c r="M295" s="62"/>
    </row>
    <row r="296">
      <c r="G296" s="60"/>
      <c r="J296" s="61"/>
      <c r="K296" s="62"/>
      <c r="L296" s="62"/>
      <c r="M296" s="62"/>
    </row>
    <row r="297">
      <c r="G297" s="60"/>
      <c r="J297" s="61"/>
      <c r="K297" s="62"/>
      <c r="L297" s="62"/>
      <c r="M297" s="62"/>
    </row>
    <row r="298">
      <c r="G298" s="60"/>
      <c r="J298" s="61"/>
      <c r="K298" s="62"/>
      <c r="L298" s="62"/>
      <c r="M298" s="62"/>
    </row>
    <row r="299">
      <c r="G299" s="60"/>
      <c r="J299" s="61"/>
      <c r="K299" s="62"/>
      <c r="L299" s="62"/>
      <c r="M299" s="62"/>
    </row>
    <row r="300">
      <c r="G300" s="60"/>
      <c r="J300" s="61"/>
      <c r="K300" s="62"/>
      <c r="L300" s="62"/>
      <c r="M300" s="62"/>
    </row>
    <row r="301">
      <c r="G301" s="60"/>
      <c r="J301" s="61"/>
      <c r="K301" s="62"/>
      <c r="L301" s="62"/>
      <c r="M301" s="62"/>
    </row>
    <row r="302">
      <c r="G302" s="60"/>
      <c r="J302" s="61"/>
      <c r="K302" s="62"/>
      <c r="L302" s="62"/>
      <c r="M302" s="62"/>
    </row>
    <row r="303">
      <c r="G303" s="60"/>
      <c r="J303" s="61"/>
      <c r="K303" s="62"/>
      <c r="L303" s="62"/>
      <c r="M303" s="62"/>
    </row>
    <row r="304">
      <c r="G304" s="60"/>
      <c r="J304" s="61"/>
      <c r="K304" s="62"/>
      <c r="L304" s="62"/>
      <c r="M304" s="62"/>
    </row>
    <row r="305">
      <c r="G305" s="60"/>
      <c r="J305" s="61"/>
      <c r="K305" s="62"/>
      <c r="L305" s="62"/>
      <c r="M305" s="62"/>
    </row>
    <row r="306">
      <c r="G306" s="60"/>
      <c r="J306" s="61"/>
      <c r="K306" s="62"/>
      <c r="L306" s="62"/>
      <c r="M306" s="62"/>
    </row>
    <row r="307">
      <c r="G307" s="60"/>
      <c r="J307" s="61"/>
      <c r="K307" s="62"/>
      <c r="L307" s="62"/>
      <c r="M307" s="62"/>
    </row>
    <row r="308">
      <c r="G308" s="60"/>
      <c r="J308" s="61"/>
      <c r="K308" s="62"/>
      <c r="L308" s="62"/>
      <c r="M308" s="62"/>
    </row>
    <row r="309">
      <c r="G309" s="60"/>
      <c r="J309" s="61"/>
      <c r="K309" s="62"/>
      <c r="L309" s="62"/>
      <c r="M309" s="62"/>
    </row>
    <row r="310">
      <c r="G310" s="60"/>
      <c r="J310" s="61"/>
      <c r="K310" s="62"/>
      <c r="L310" s="62"/>
      <c r="M310" s="62"/>
    </row>
    <row r="311">
      <c r="G311" s="60"/>
      <c r="J311" s="61"/>
      <c r="K311" s="62"/>
      <c r="L311" s="62"/>
      <c r="M311" s="62"/>
    </row>
    <row r="312">
      <c r="G312" s="60"/>
      <c r="J312" s="61"/>
      <c r="K312" s="62"/>
      <c r="L312" s="62"/>
      <c r="M312" s="62"/>
    </row>
    <row r="313">
      <c r="G313" s="60"/>
      <c r="J313" s="61"/>
      <c r="K313" s="62"/>
      <c r="L313" s="62"/>
      <c r="M313" s="62"/>
    </row>
    <row r="314">
      <c r="G314" s="60"/>
      <c r="J314" s="61"/>
      <c r="K314" s="62"/>
      <c r="L314" s="62"/>
      <c r="M314" s="62"/>
    </row>
    <row r="315">
      <c r="G315" s="60"/>
      <c r="J315" s="61"/>
      <c r="K315" s="62"/>
      <c r="L315" s="62"/>
      <c r="M315" s="62"/>
    </row>
    <row r="316">
      <c r="G316" s="60"/>
      <c r="J316" s="61"/>
      <c r="K316" s="62"/>
      <c r="L316" s="62"/>
      <c r="M316" s="62"/>
    </row>
    <row r="317">
      <c r="G317" s="60"/>
      <c r="J317" s="61"/>
      <c r="K317" s="62"/>
      <c r="L317" s="62"/>
      <c r="M317" s="62"/>
    </row>
    <row r="318">
      <c r="G318" s="60"/>
      <c r="J318" s="61"/>
      <c r="K318" s="62"/>
      <c r="L318" s="62"/>
      <c r="M318" s="62"/>
    </row>
    <row r="319">
      <c r="G319" s="60"/>
      <c r="J319" s="61"/>
      <c r="K319" s="62"/>
      <c r="L319" s="62"/>
      <c r="M319" s="62"/>
    </row>
    <row r="320">
      <c r="G320" s="60"/>
      <c r="J320" s="61"/>
      <c r="K320" s="62"/>
      <c r="L320" s="62"/>
      <c r="M320" s="62"/>
    </row>
    <row r="321">
      <c r="G321" s="60"/>
      <c r="J321" s="61"/>
      <c r="K321" s="62"/>
      <c r="L321" s="62"/>
      <c r="M321" s="62"/>
    </row>
    <row r="322">
      <c r="G322" s="60"/>
      <c r="J322" s="61"/>
      <c r="K322" s="62"/>
      <c r="L322" s="62"/>
      <c r="M322" s="62"/>
    </row>
    <row r="323">
      <c r="G323" s="60"/>
      <c r="J323" s="61"/>
      <c r="K323" s="62"/>
      <c r="L323" s="62"/>
      <c r="M323" s="62"/>
    </row>
    <row r="324">
      <c r="G324" s="60"/>
      <c r="J324" s="61"/>
      <c r="K324" s="62"/>
      <c r="L324" s="62"/>
      <c r="M324" s="62"/>
    </row>
    <row r="325">
      <c r="G325" s="60"/>
      <c r="J325" s="61"/>
      <c r="K325" s="62"/>
      <c r="L325" s="62"/>
      <c r="M325" s="62"/>
    </row>
    <row r="326">
      <c r="G326" s="60"/>
      <c r="J326" s="61"/>
      <c r="K326" s="62"/>
      <c r="L326" s="62"/>
      <c r="M326" s="62"/>
    </row>
    <row r="327">
      <c r="G327" s="60"/>
      <c r="J327" s="61"/>
      <c r="K327" s="62"/>
      <c r="L327" s="62"/>
      <c r="M327" s="62"/>
    </row>
    <row r="328">
      <c r="G328" s="60"/>
      <c r="J328" s="61"/>
      <c r="K328" s="62"/>
      <c r="L328" s="62"/>
      <c r="M328" s="62"/>
    </row>
    <row r="329">
      <c r="G329" s="60"/>
      <c r="J329" s="61"/>
      <c r="K329" s="62"/>
      <c r="L329" s="62"/>
      <c r="M329" s="62"/>
    </row>
    <row r="330">
      <c r="G330" s="60"/>
      <c r="J330" s="61"/>
      <c r="K330" s="62"/>
      <c r="L330" s="62"/>
      <c r="M330" s="62"/>
    </row>
    <row r="331">
      <c r="G331" s="60"/>
      <c r="J331" s="61"/>
      <c r="K331" s="62"/>
      <c r="L331" s="62"/>
      <c r="M331" s="62"/>
    </row>
    <row r="332">
      <c r="G332" s="60"/>
      <c r="J332" s="61"/>
      <c r="K332" s="62"/>
      <c r="L332" s="62"/>
      <c r="M332" s="62"/>
    </row>
    <row r="333">
      <c r="G333" s="60"/>
      <c r="J333" s="61"/>
      <c r="K333" s="62"/>
      <c r="L333" s="62"/>
      <c r="M333" s="62"/>
    </row>
    <row r="334">
      <c r="G334" s="60"/>
      <c r="J334" s="61"/>
      <c r="K334" s="62"/>
      <c r="L334" s="62"/>
      <c r="M334" s="62"/>
    </row>
    <row r="335">
      <c r="G335" s="60"/>
      <c r="J335" s="61"/>
      <c r="K335" s="62"/>
      <c r="L335" s="62"/>
      <c r="M335" s="62"/>
    </row>
    <row r="336">
      <c r="G336" s="60"/>
      <c r="J336" s="61"/>
      <c r="K336" s="62"/>
      <c r="L336" s="62"/>
      <c r="M336" s="62"/>
    </row>
    <row r="337">
      <c r="G337" s="60"/>
      <c r="J337" s="61"/>
      <c r="K337" s="62"/>
      <c r="L337" s="62"/>
      <c r="M337" s="62"/>
    </row>
    <row r="338">
      <c r="G338" s="60"/>
      <c r="J338" s="61"/>
      <c r="K338" s="62"/>
      <c r="L338" s="62"/>
      <c r="M338" s="62"/>
    </row>
    <row r="339">
      <c r="G339" s="60"/>
      <c r="J339" s="61"/>
      <c r="K339" s="62"/>
      <c r="L339" s="62"/>
      <c r="M339" s="62"/>
    </row>
    <row r="340">
      <c r="G340" s="60"/>
      <c r="J340" s="61"/>
      <c r="K340" s="62"/>
      <c r="L340" s="62"/>
      <c r="M340" s="62"/>
    </row>
    <row r="341">
      <c r="G341" s="60"/>
      <c r="J341" s="61"/>
      <c r="K341" s="62"/>
      <c r="L341" s="62"/>
      <c r="M341" s="62"/>
    </row>
    <row r="342">
      <c r="G342" s="60"/>
      <c r="J342" s="61"/>
      <c r="K342" s="62"/>
      <c r="L342" s="62"/>
      <c r="M342" s="62"/>
    </row>
    <row r="343">
      <c r="G343" s="60"/>
      <c r="J343" s="61"/>
      <c r="K343" s="62"/>
      <c r="L343" s="62"/>
      <c r="M343" s="62"/>
    </row>
    <row r="344">
      <c r="G344" s="60"/>
      <c r="J344" s="61"/>
      <c r="K344" s="62"/>
      <c r="L344" s="62"/>
      <c r="M344" s="62"/>
    </row>
    <row r="345">
      <c r="G345" s="60"/>
      <c r="J345" s="61"/>
      <c r="K345" s="62"/>
      <c r="L345" s="62"/>
      <c r="M345" s="62"/>
    </row>
    <row r="346">
      <c r="G346" s="60"/>
      <c r="J346" s="61"/>
      <c r="K346" s="62"/>
      <c r="L346" s="62"/>
      <c r="M346" s="62"/>
    </row>
    <row r="347">
      <c r="G347" s="60"/>
      <c r="J347" s="61"/>
      <c r="K347" s="62"/>
      <c r="L347" s="62"/>
      <c r="M347" s="62"/>
    </row>
    <row r="348">
      <c r="G348" s="60"/>
      <c r="J348" s="61"/>
      <c r="K348" s="62"/>
      <c r="L348" s="62"/>
      <c r="M348" s="62"/>
    </row>
    <row r="349">
      <c r="G349" s="60"/>
      <c r="J349" s="61"/>
      <c r="K349" s="62"/>
      <c r="L349" s="62"/>
      <c r="M349" s="62"/>
    </row>
    <row r="350">
      <c r="G350" s="60"/>
      <c r="J350" s="61"/>
      <c r="K350" s="62"/>
      <c r="L350" s="62"/>
      <c r="M350" s="62"/>
    </row>
    <row r="351">
      <c r="G351" s="60"/>
      <c r="J351" s="61"/>
      <c r="K351" s="62"/>
      <c r="L351" s="62"/>
      <c r="M351" s="62"/>
    </row>
    <row r="352">
      <c r="G352" s="60"/>
      <c r="J352" s="61"/>
      <c r="K352" s="62"/>
      <c r="L352" s="62"/>
      <c r="M352" s="62"/>
    </row>
    <row r="353">
      <c r="G353" s="60"/>
      <c r="J353" s="61"/>
      <c r="K353" s="62"/>
      <c r="L353" s="62"/>
      <c r="M353" s="62"/>
    </row>
    <row r="354">
      <c r="G354" s="60"/>
      <c r="J354" s="61"/>
      <c r="K354" s="62"/>
      <c r="L354" s="62"/>
      <c r="M354" s="62"/>
    </row>
    <row r="355">
      <c r="G355" s="60"/>
      <c r="J355" s="61"/>
      <c r="K355" s="62"/>
      <c r="L355" s="62"/>
      <c r="M355" s="62"/>
    </row>
    <row r="356">
      <c r="G356" s="60"/>
      <c r="J356" s="61"/>
      <c r="K356" s="62"/>
      <c r="L356" s="62"/>
      <c r="M356" s="62"/>
    </row>
    <row r="357">
      <c r="G357" s="60"/>
      <c r="J357" s="61"/>
      <c r="K357" s="62"/>
      <c r="L357" s="62"/>
      <c r="M357" s="62"/>
    </row>
    <row r="358">
      <c r="G358" s="60"/>
      <c r="J358" s="61"/>
      <c r="K358" s="62"/>
      <c r="L358" s="62"/>
      <c r="M358" s="62"/>
    </row>
    <row r="359">
      <c r="G359" s="60"/>
      <c r="J359" s="61"/>
      <c r="K359" s="62"/>
      <c r="L359" s="62"/>
      <c r="M359" s="62"/>
    </row>
    <row r="360">
      <c r="G360" s="60"/>
      <c r="J360" s="61"/>
      <c r="K360" s="62"/>
      <c r="L360" s="62"/>
      <c r="M360" s="62"/>
    </row>
    <row r="361">
      <c r="G361" s="60"/>
      <c r="J361" s="61"/>
      <c r="K361" s="62"/>
      <c r="L361" s="62"/>
      <c r="M361" s="62"/>
    </row>
    <row r="362">
      <c r="G362" s="60"/>
      <c r="J362" s="61"/>
      <c r="K362" s="62"/>
      <c r="L362" s="62"/>
      <c r="M362" s="62"/>
    </row>
    <row r="363">
      <c r="G363" s="60"/>
      <c r="J363" s="61"/>
      <c r="K363" s="62"/>
      <c r="L363" s="62"/>
      <c r="M363" s="62"/>
    </row>
    <row r="364">
      <c r="G364" s="60"/>
      <c r="J364" s="61"/>
      <c r="K364" s="62"/>
      <c r="L364" s="62"/>
      <c r="M364" s="62"/>
    </row>
    <row r="365">
      <c r="G365" s="60"/>
      <c r="J365" s="61"/>
      <c r="K365" s="62"/>
      <c r="L365" s="62"/>
      <c r="M365" s="62"/>
    </row>
    <row r="366">
      <c r="G366" s="60"/>
      <c r="J366" s="61"/>
      <c r="K366" s="62"/>
      <c r="L366" s="62"/>
      <c r="M366" s="62"/>
    </row>
    <row r="367">
      <c r="G367" s="60"/>
      <c r="J367" s="61"/>
      <c r="K367" s="62"/>
      <c r="L367" s="62"/>
      <c r="M367" s="62"/>
    </row>
    <row r="368">
      <c r="G368" s="60"/>
      <c r="J368" s="61"/>
      <c r="K368" s="62"/>
      <c r="L368" s="62"/>
      <c r="M368" s="62"/>
    </row>
    <row r="369">
      <c r="G369" s="60"/>
      <c r="J369" s="61"/>
      <c r="K369" s="62"/>
      <c r="L369" s="62"/>
      <c r="M369" s="62"/>
    </row>
    <row r="370">
      <c r="G370" s="60"/>
      <c r="J370" s="61"/>
      <c r="K370" s="62"/>
      <c r="L370" s="62"/>
      <c r="M370" s="62"/>
    </row>
    <row r="371">
      <c r="G371" s="60"/>
      <c r="J371" s="61"/>
      <c r="K371" s="62"/>
      <c r="L371" s="62"/>
      <c r="M371" s="62"/>
    </row>
    <row r="372">
      <c r="G372" s="60"/>
      <c r="J372" s="61"/>
      <c r="K372" s="62"/>
      <c r="L372" s="62"/>
      <c r="M372" s="62"/>
    </row>
    <row r="373">
      <c r="G373" s="60"/>
      <c r="J373" s="61"/>
      <c r="K373" s="62"/>
      <c r="L373" s="62"/>
      <c r="M373" s="62"/>
    </row>
    <row r="374">
      <c r="G374" s="60"/>
      <c r="J374" s="61"/>
      <c r="K374" s="62"/>
      <c r="L374" s="62"/>
      <c r="M374" s="62"/>
    </row>
    <row r="375">
      <c r="G375" s="60"/>
      <c r="J375" s="61"/>
      <c r="K375" s="62"/>
      <c r="L375" s="62"/>
      <c r="M375" s="62"/>
    </row>
    <row r="376">
      <c r="G376" s="60"/>
      <c r="J376" s="61"/>
      <c r="K376" s="62"/>
      <c r="L376" s="62"/>
      <c r="M376" s="62"/>
    </row>
    <row r="377">
      <c r="G377" s="60"/>
      <c r="J377" s="61"/>
      <c r="K377" s="62"/>
      <c r="L377" s="62"/>
      <c r="M377" s="62"/>
    </row>
    <row r="378">
      <c r="G378" s="60"/>
      <c r="J378" s="61"/>
      <c r="K378" s="62"/>
      <c r="L378" s="62"/>
      <c r="M378" s="62"/>
    </row>
    <row r="379">
      <c r="G379" s="60"/>
      <c r="J379" s="61"/>
      <c r="K379" s="62"/>
      <c r="L379" s="62"/>
      <c r="M379" s="62"/>
    </row>
    <row r="380">
      <c r="G380" s="60"/>
      <c r="J380" s="61"/>
      <c r="K380" s="62"/>
      <c r="L380" s="62"/>
      <c r="M380" s="62"/>
    </row>
    <row r="381">
      <c r="G381" s="60"/>
      <c r="J381" s="61"/>
      <c r="K381" s="62"/>
      <c r="L381" s="62"/>
      <c r="M381" s="62"/>
    </row>
    <row r="382">
      <c r="G382" s="60"/>
      <c r="J382" s="61"/>
      <c r="K382" s="62"/>
      <c r="L382" s="62"/>
      <c r="M382" s="62"/>
    </row>
    <row r="383">
      <c r="G383" s="60"/>
      <c r="J383" s="61"/>
      <c r="K383" s="62"/>
      <c r="L383" s="62"/>
      <c r="M383" s="62"/>
    </row>
    <row r="384">
      <c r="G384" s="60"/>
      <c r="J384" s="61"/>
      <c r="K384" s="62"/>
      <c r="L384" s="62"/>
      <c r="M384" s="62"/>
    </row>
    <row r="385">
      <c r="G385" s="60"/>
      <c r="J385" s="61"/>
      <c r="K385" s="62"/>
      <c r="L385" s="62"/>
      <c r="M385" s="62"/>
    </row>
    <row r="386">
      <c r="G386" s="60"/>
      <c r="J386" s="61"/>
      <c r="K386" s="62"/>
      <c r="L386" s="62"/>
      <c r="M386" s="62"/>
    </row>
    <row r="387">
      <c r="G387" s="60"/>
      <c r="J387" s="61"/>
      <c r="K387" s="62"/>
      <c r="L387" s="62"/>
      <c r="M387" s="62"/>
    </row>
    <row r="388">
      <c r="G388" s="60"/>
      <c r="J388" s="61"/>
      <c r="K388" s="62"/>
      <c r="L388" s="62"/>
      <c r="M388" s="62"/>
    </row>
    <row r="389">
      <c r="G389" s="60"/>
      <c r="J389" s="61"/>
      <c r="K389" s="62"/>
      <c r="L389" s="62"/>
      <c r="M389" s="62"/>
    </row>
    <row r="390">
      <c r="G390" s="60"/>
      <c r="J390" s="61"/>
      <c r="K390" s="62"/>
      <c r="L390" s="62"/>
      <c r="M390" s="62"/>
    </row>
    <row r="391">
      <c r="G391" s="60"/>
      <c r="J391" s="61"/>
      <c r="K391" s="62"/>
      <c r="L391" s="62"/>
      <c r="M391" s="62"/>
    </row>
    <row r="392">
      <c r="G392" s="60"/>
      <c r="J392" s="61"/>
      <c r="K392" s="62"/>
      <c r="L392" s="62"/>
      <c r="M392" s="62"/>
    </row>
    <row r="393">
      <c r="G393" s="60"/>
      <c r="J393" s="61"/>
      <c r="K393" s="62"/>
      <c r="L393" s="62"/>
      <c r="M393" s="62"/>
    </row>
    <row r="394">
      <c r="G394" s="60"/>
      <c r="J394" s="61"/>
      <c r="K394" s="62"/>
      <c r="L394" s="62"/>
      <c r="M394" s="62"/>
    </row>
    <row r="395">
      <c r="G395" s="60"/>
      <c r="J395" s="61"/>
      <c r="K395" s="62"/>
      <c r="L395" s="62"/>
      <c r="M395" s="62"/>
    </row>
    <row r="396">
      <c r="G396" s="60"/>
      <c r="J396" s="61"/>
      <c r="K396" s="62"/>
      <c r="L396" s="62"/>
      <c r="M396" s="62"/>
    </row>
    <row r="397">
      <c r="G397" s="60"/>
      <c r="J397" s="61"/>
      <c r="K397" s="62"/>
      <c r="L397" s="62"/>
      <c r="M397" s="62"/>
    </row>
    <row r="398">
      <c r="G398" s="60"/>
      <c r="J398" s="61"/>
      <c r="K398" s="62"/>
      <c r="L398" s="62"/>
      <c r="M398" s="62"/>
    </row>
    <row r="399">
      <c r="G399" s="60"/>
      <c r="J399" s="61"/>
      <c r="K399" s="62"/>
      <c r="L399" s="62"/>
      <c r="M399" s="62"/>
    </row>
    <row r="400">
      <c r="G400" s="60"/>
      <c r="J400" s="61"/>
      <c r="K400" s="62"/>
      <c r="L400" s="62"/>
      <c r="M400" s="62"/>
    </row>
    <row r="401">
      <c r="G401" s="60"/>
      <c r="J401" s="61"/>
      <c r="K401" s="62"/>
      <c r="L401" s="62"/>
      <c r="M401" s="62"/>
    </row>
    <row r="402">
      <c r="G402" s="60"/>
      <c r="J402" s="61"/>
      <c r="K402" s="62"/>
      <c r="L402" s="62"/>
      <c r="M402" s="62"/>
    </row>
    <row r="403">
      <c r="G403" s="60"/>
      <c r="J403" s="61"/>
      <c r="K403" s="62"/>
      <c r="L403" s="62"/>
      <c r="M403" s="62"/>
    </row>
    <row r="404">
      <c r="G404" s="60"/>
      <c r="J404" s="61"/>
      <c r="K404" s="62"/>
      <c r="L404" s="62"/>
      <c r="M404" s="62"/>
    </row>
    <row r="405">
      <c r="G405" s="60"/>
      <c r="J405" s="61"/>
      <c r="K405" s="62"/>
      <c r="L405" s="62"/>
      <c r="M405" s="62"/>
    </row>
    <row r="406">
      <c r="G406" s="60"/>
      <c r="J406" s="61"/>
      <c r="K406" s="62"/>
      <c r="L406" s="62"/>
      <c r="M406" s="62"/>
    </row>
    <row r="407">
      <c r="G407" s="60"/>
      <c r="J407" s="61"/>
      <c r="K407" s="62"/>
      <c r="L407" s="62"/>
      <c r="M407" s="62"/>
    </row>
    <row r="408">
      <c r="G408" s="60"/>
      <c r="J408" s="61"/>
      <c r="K408" s="62"/>
      <c r="L408" s="62"/>
      <c r="M408" s="62"/>
    </row>
    <row r="409">
      <c r="G409" s="60"/>
      <c r="J409" s="61"/>
      <c r="K409" s="62"/>
      <c r="L409" s="62"/>
      <c r="M409" s="62"/>
    </row>
    <row r="410">
      <c r="G410" s="60"/>
      <c r="J410" s="61"/>
      <c r="K410" s="62"/>
      <c r="L410" s="62"/>
      <c r="M410" s="62"/>
    </row>
    <row r="411">
      <c r="G411" s="60"/>
      <c r="J411" s="61"/>
      <c r="K411" s="62"/>
      <c r="L411" s="62"/>
      <c r="M411" s="62"/>
    </row>
    <row r="412">
      <c r="G412" s="60"/>
      <c r="J412" s="61"/>
      <c r="K412" s="62"/>
      <c r="L412" s="62"/>
      <c r="M412" s="62"/>
    </row>
    <row r="413">
      <c r="G413" s="60"/>
      <c r="J413" s="61"/>
      <c r="K413" s="62"/>
      <c r="L413" s="62"/>
      <c r="M413" s="62"/>
    </row>
    <row r="414">
      <c r="G414" s="60"/>
      <c r="J414" s="61"/>
      <c r="K414" s="62"/>
      <c r="L414" s="62"/>
      <c r="M414" s="62"/>
    </row>
    <row r="415">
      <c r="G415" s="60"/>
      <c r="J415" s="61"/>
      <c r="K415" s="62"/>
      <c r="L415" s="62"/>
      <c r="M415" s="62"/>
    </row>
    <row r="416">
      <c r="G416" s="60"/>
      <c r="J416" s="61"/>
      <c r="K416" s="62"/>
      <c r="L416" s="62"/>
      <c r="M416" s="62"/>
    </row>
    <row r="417">
      <c r="G417" s="60"/>
      <c r="J417" s="61"/>
      <c r="K417" s="62"/>
      <c r="L417" s="62"/>
      <c r="M417" s="62"/>
    </row>
    <row r="418">
      <c r="G418" s="60"/>
      <c r="J418" s="61"/>
      <c r="K418" s="62"/>
      <c r="L418" s="62"/>
      <c r="M418" s="62"/>
    </row>
    <row r="419">
      <c r="G419" s="60"/>
      <c r="J419" s="61"/>
      <c r="K419" s="62"/>
      <c r="L419" s="62"/>
      <c r="M419" s="62"/>
    </row>
    <row r="420">
      <c r="G420" s="60"/>
      <c r="J420" s="61"/>
      <c r="K420" s="62"/>
      <c r="L420" s="62"/>
      <c r="M420" s="62"/>
    </row>
    <row r="421">
      <c r="G421" s="60"/>
      <c r="J421" s="61"/>
      <c r="K421" s="62"/>
      <c r="L421" s="62"/>
      <c r="M421" s="62"/>
    </row>
    <row r="422">
      <c r="G422" s="60"/>
      <c r="J422" s="61"/>
      <c r="K422" s="62"/>
      <c r="L422" s="62"/>
      <c r="M422" s="62"/>
    </row>
    <row r="423">
      <c r="G423" s="60"/>
      <c r="J423" s="61"/>
      <c r="K423" s="62"/>
      <c r="L423" s="62"/>
      <c r="M423" s="62"/>
    </row>
    <row r="424">
      <c r="G424" s="60"/>
      <c r="J424" s="61"/>
      <c r="K424" s="62"/>
      <c r="L424" s="62"/>
      <c r="M424" s="62"/>
    </row>
    <row r="425">
      <c r="G425" s="60"/>
      <c r="J425" s="61"/>
      <c r="K425" s="62"/>
      <c r="L425" s="62"/>
      <c r="M425" s="62"/>
    </row>
    <row r="426">
      <c r="G426" s="60"/>
      <c r="J426" s="61"/>
      <c r="K426" s="62"/>
      <c r="L426" s="62"/>
      <c r="M426" s="62"/>
    </row>
    <row r="427">
      <c r="G427" s="60"/>
      <c r="J427" s="61"/>
      <c r="K427" s="62"/>
      <c r="L427" s="62"/>
      <c r="M427" s="62"/>
    </row>
    <row r="428">
      <c r="G428" s="60"/>
      <c r="J428" s="61"/>
      <c r="K428" s="62"/>
      <c r="L428" s="62"/>
      <c r="M428" s="62"/>
    </row>
    <row r="429">
      <c r="G429" s="60"/>
      <c r="J429" s="61"/>
      <c r="K429" s="62"/>
      <c r="L429" s="62"/>
      <c r="M429" s="62"/>
    </row>
    <row r="430">
      <c r="G430" s="60"/>
      <c r="J430" s="61"/>
      <c r="K430" s="62"/>
      <c r="L430" s="62"/>
      <c r="M430" s="62"/>
    </row>
    <row r="431">
      <c r="G431" s="60"/>
      <c r="J431" s="61"/>
      <c r="K431" s="62"/>
      <c r="L431" s="62"/>
      <c r="M431" s="62"/>
    </row>
    <row r="432">
      <c r="G432" s="60"/>
      <c r="J432" s="61"/>
      <c r="K432" s="62"/>
      <c r="L432" s="62"/>
      <c r="M432" s="62"/>
    </row>
    <row r="433">
      <c r="G433" s="60"/>
      <c r="J433" s="61"/>
      <c r="K433" s="62"/>
      <c r="L433" s="62"/>
      <c r="M433" s="62"/>
    </row>
    <row r="434">
      <c r="G434" s="60"/>
      <c r="J434" s="61"/>
      <c r="K434" s="62"/>
      <c r="L434" s="62"/>
      <c r="M434" s="62"/>
    </row>
    <row r="435">
      <c r="G435" s="60"/>
      <c r="J435" s="61"/>
      <c r="K435" s="62"/>
      <c r="L435" s="62"/>
      <c r="M435" s="62"/>
    </row>
    <row r="436">
      <c r="G436" s="60"/>
      <c r="J436" s="61"/>
      <c r="K436" s="62"/>
      <c r="L436" s="62"/>
      <c r="M436" s="62"/>
    </row>
    <row r="437">
      <c r="G437" s="60"/>
      <c r="J437" s="61"/>
      <c r="K437" s="62"/>
      <c r="L437" s="62"/>
      <c r="M437" s="62"/>
    </row>
    <row r="438">
      <c r="G438" s="60"/>
      <c r="J438" s="61"/>
      <c r="K438" s="62"/>
      <c r="L438" s="62"/>
      <c r="M438" s="62"/>
    </row>
    <row r="439">
      <c r="G439" s="60"/>
      <c r="J439" s="61"/>
      <c r="K439" s="62"/>
      <c r="L439" s="62"/>
      <c r="M439" s="62"/>
    </row>
    <row r="440">
      <c r="G440" s="60"/>
      <c r="J440" s="61"/>
      <c r="K440" s="62"/>
      <c r="L440" s="62"/>
      <c r="M440" s="62"/>
    </row>
    <row r="441">
      <c r="G441" s="60"/>
      <c r="J441" s="61"/>
      <c r="K441" s="62"/>
      <c r="L441" s="62"/>
      <c r="M441" s="62"/>
    </row>
    <row r="442">
      <c r="G442" s="60"/>
      <c r="J442" s="61"/>
      <c r="K442" s="62"/>
      <c r="L442" s="62"/>
      <c r="M442" s="62"/>
    </row>
    <row r="443">
      <c r="G443" s="60"/>
      <c r="J443" s="61"/>
      <c r="K443" s="62"/>
      <c r="L443" s="62"/>
      <c r="M443" s="62"/>
    </row>
    <row r="444">
      <c r="G444" s="60"/>
      <c r="J444" s="61"/>
      <c r="K444" s="62"/>
      <c r="L444" s="62"/>
      <c r="M444" s="62"/>
    </row>
    <row r="445">
      <c r="G445" s="60"/>
      <c r="J445" s="61"/>
      <c r="K445" s="62"/>
      <c r="L445" s="62"/>
      <c r="M445" s="62"/>
    </row>
    <row r="446">
      <c r="G446" s="60"/>
      <c r="J446" s="61"/>
      <c r="K446" s="62"/>
      <c r="L446" s="62"/>
      <c r="M446" s="62"/>
    </row>
    <row r="447">
      <c r="G447" s="60"/>
      <c r="J447" s="61"/>
      <c r="K447" s="62"/>
      <c r="L447" s="62"/>
      <c r="M447" s="62"/>
    </row>
    <row r="448">
      <c r="G448" s="60"/>
      <c r="J448" s="61"/>
      <c r="K448" s="62"/>
      <c r="L448" s="62"/>
      <c r="M448" s="62"/>
    </row>
    <row r="449">
      <c r="G449" s="60"/>
      <c r="J449" s="61"/>
      <c r="K449" s="62"/>
      <c r="L449" s="62"/>
      <c r="M449" s="62"/>
    </row>
    <row r="450">
      <c r="G450" s="60"/>
      <c r="J450" s="61"/>
      <c r="K450" s="62"/>
      <c r="L450" s="62"/>
      <c r="M450" s="62"/>
    </row>
    <row r="451">
      <c r="G451" s="60"/>
      <c r="J451" s="61"/>
      <c r="K451" s="62"/>
      <c r="L451" s="62"/>
      <c r="M451" s="62"/>
    </row>
    <row r="452">
      <c r="G452" s="60"/>
      <c r="J452" s="61"/>
      <c r="K452" s="62"/>
      <c r="L452" s="62"/>
      <c r="M452" s="62"/>
    </row>
    <row r="453">
      <c r="G453" s="60"/>
      <c r="J453" s="61"/>
      <c r="K453" s="62"/>
      <c r="L453" s="62"/>
      <c r="M453" s="62"/>
    </row>
    <row r="454">
      <c r="G454" s="60"/>
      <c r="J454" s="61"/>
      <c r="K454" s="62"/>
      <c r="L454" s="62"/>
      <c r="M454" s="62"/>
    </row>
    <row r="455">
      <c r="G455" s="60"/>
      <c r="J455" s="61"/>
      <c r="K455" s="62"/>
      <c r="L455" s="62"/>
      <c r="M455" s="62"/>
    </row>
    <row r="456">
      <c r="G456" s="60"/>
      <c r="J456" s="61"/>
      <c r="K456" s="62"/>
      <c r="L456" s="62"/>
      <c r="M456" s="62"/>
    </row>
    <row r="457">
      <c r="G457" s="60"/>
      <c r="J457" s="61"/>
      <c r="K457" s="62"/>
      <c r="L457" s="62"/>
      <c r="M457" s="62"/>
    </row>
    <row r="458">
      <c r="G458" s="60"/>
      <c r="J458" s="61"/>
      <c r="K458" s="62"/>
      <c r="L458" s="62"/>
      <c r="M458" s="62"/>
    </row>
    <row r="459">
      <c r="G459" s="60"/>
      <c r="J459" s="61"/>
      <c r="K459" s="62"/>
      <c r="L459" s="62"/>
      <c r="M459" s="62"/>
    </row>
    <row r="460">
      <c r="G460" s="60"/>
      <c r="J460" s="61"/>
      <c r="K460" s="62"/>
      <c r="L460" s="62"/>
      <c r="M460" s="62"/>
    </row>
    <row r="461">
      <c r="G461" s="60"/>
      <c r="J461" s="61"/>
      <c r="K461" s="62"/>
      <c r="L461" s="62"/>
      <c r="M461" s="62"/>
    </row>
    <row r="462">
      <c r="G462" s="60"/>
      <c r="J462" s="61"/>
      <c r="K462" s="62"/>
      <c r="L462" s="62"/>
      <c r="M462" s="62"/>
    </row>
    <row r="463">
      <c r="G463" s="60"/>
      <c r="J463" s="61"/>
      <c r="K463" s="62"/>
      <c r="L463" s="62"/>
      <c r="M463" s="62"/>
    </row>
    <row r="464">
      <c r="G464" s="60"/>
      <c r="J464" s="61"/>
      <c r="K464" s="62"/>
      <c r="L464" s="62"/>
      <c r="M464" s="62"/>
    </row>
    <row r="465">
      <c r="G465" s="60"/>
      <c r="J465" s="61"/>
      <c r="K465" s="62"/>
      <c r="L465" s="62"/>
      <c r="M465" s="62"/>
    </row>
    <row r="466">
      <c r="G466" s="60"/>
      <c r="J466" s="61"/>
      <c r="K466" s="62"/>
      <c r="L466" s="62"/>
      <c r="M466" s="62"/>
    </row>
    <row r="467">
      <c r="G467" s="60"/>
      <c r="J467" s="61"/>
      <c r="K467" s="62"/>
      <c r="L467" s="62"/>
      <c r="M467" s="62"/>
    </row>
    <row r="468">
      <c r="G468" s="60"/>
      <c r="J468" s="61"/>
      <c r="K468" s="62"/>
      <c r="L468" s="62"/>
      <c r="M468" s="62"/>
    </row>
    <row r="469">
      <c r="G469" s="60"/>
      <c r="J469" s="61"/>
      <c r="K469" s="62"/>
      <c r="L469" s="62"/>
      <c r="M469" s="62"/>
    </row>
    <row r="470">
      <c r="G470" s="60"/>
      <c r="J470" s="61"/>
      <c r="K470" s="62"/>
      <c r="L470" s="62"/>
      <c r="M470" s="62"/>
    </row>
    <row r="471">
      <c r="G471" s="60"/>
      <c r="J471" s="61"/>
      <c r="K471" s="62"/>
      <c r="L471" s="62"/>
      <c r="M471" s="62"/>
    </row>
    <row r="472">
      <c r="G472" s="60"/>
      <c r="J472" s="61"/>
      <c r="K472" s="62"/>
      <c r="L472" s="62"/>
      <c r="M472" s="62"/>
    </row>
    <row r="473">
      <c r="G473" s="60"/>
      <c r="J473" s="61"/>
      <c r="K473" s="62"/>
      <c r="L473" s="62"/>
      <c r="M473" s="62"/>
    </row>
    <row r="474">
      <c r="G474" s="60"/>
      <c r="J474" s="61"/>
      <c r="K474" s="62"/>
      <c r="L474" s="62"/>
      <c r="M474" s="62"/>
    </row>
    <row r="475">
      <c r="G475" s="60"/>
      <c r="J475" s="61"/>
      <c r="K475" s="62"/>
      <c r="L475" s="62"/>
      <c r="M475" s="62"/>
    </row>
    <row r="476">
      <c r="G476" s="60"/>
      <c r="J476" s="61"/>
      <c r="K476" s="62"/>
      <c r="L476" s="62"/>
      <c r="M476" s="62"/>
    </row>
    <row r="477">
      <c r="G477" s="60"/>
      <c r="J477" s="61"/>
      <c r="K477" s="62"/>
      <c r="L477" s="62"/>
      <c r="M477" s="62"/>
    </row>
    <row r="478">
      <c r="G478" s="60"/>
      <c r="J478" s="61"/>
      <c r="K478" s="62"/>
      <c r="L478" s="62"/>
      <c r="M478" s="62"/>
    </row>
    <row r="479">
      <c r="G479" s="60"/>
      <c r="J479" s="61"/>
      <c r="K479" s="62"/>
      <c r="L479" s="62"/>
      <c r="M479" s="62"/>
    </row>
    <row r="480">
      <c r="G480" s="60"/>
      <c r="J480" s="61"/>
      <c r="K480" s="62"/>
      <c r="L480" s="62"/>
      <c r="M480" s="62"/>
    </row>
    <row r="481">
      <c r="G481" s="60"/>
      <c r="J481" s="61"/>
      <c r="K481" s="62"/>
      <c r="L481" s="62"/>
      <c r="M481" s="62"/>
    </row>
    <row r="482">
      <c r="G482" s="60"/>
      <c r="J482" s="61"/>
      <c r="K482" s="62"/>
      <c r="L482" s="62"/>
      <c r="M482" s="62"/>
    </row>
    <row r="483">
      <c r="G483" s="60"/>
      <c r="J483" s="61"/>
      <c r="K483" s="62"/>
      <c r="L483" s="62"/>
      <c r="M483" s="62"/>
    </row>
    <row r="484">
      <c r="G484" s="60"/>
      <c r="J484" s="61"/>
      <c r="K484" s="62"/>
      <c r="L484" s="62"/>
      <c r="M484" s="62"/>
    </row>
    <row r="485">
      <c r="G485" s="60"/>
      <c r="J485" s="61"/>
      <c r="K485" s="62"/>
      <c r="L485" s="62"/>
      <c r="M485" s="62"/>
    </row>
    <row r="486">
      <c r="G486" s="60"/>
      <c r="J486" s="61"/>
      <c r="K486" s="62"/>
      <c r="L486" s="62"/>
      <c r="M486" s="62"/>
    </row>
    <row r="487">
      <c r="G487" s="60"/>
      <c r="J487" s="61"/>
      <c r="K487" s="62"/>
      <c r="L487" s="62"/>
      <c r="M487" s="62"/>
    </row>
    <row r="488">
      <c r="G488" s="60"/>
      <c r="J488" s="61"/>
      <c r="K488" s="62"/>
      <c r="L488" s="62"/>
      <c r="M488" s="62"/>
    </row>
    <row r="489">
      <c r="G489" s="60"/>
      <c r="J489" s="61"/>
      <c r="K489" s="62"/>
      <c r="L489" s="62"/>
      <c r="M489" s="62"/>
    </row>
    <row r="490">
      <c r="G490" s="60"/>
      <c r="J490" s="61"/>
      <c r="K490" s="62"/>
      <c r="L490" s="62"/>
      <c r="M490" s="62"/>
    </row>
    <row r="491">
      <c r="G491" s="60"/>
      <c r="J491" s="61"/>
      <c r="K491" s="62"/>
      <c r="L491" s="62"/>
      <c r="M491" s="62"/>
    </row>
    <row r="492">
      <c r="G492" s="60"/>
      <c r="J492" s="61"/>
      <c r="K492" s="62"/>
      <c r="L492" s="62"/>
      <c r="M492" s="62"/>
    </row>
    <row r="493">
      <c r="G493" s="60"/>
      <c r="J493" s="61"/>
      <c r="K493" s="62"/>
      <c r="L493" s="62"/>
      <c r="M493" s="62"/>
    </row>
    <row r="494">
      <c r="G494" s="60"/>
      <c r="J494" s="61"/>
      <c r="K494" s="62"/>
      <c r="L494" s="62"/>
      <c r="M494" s="62"/>
    </row>
    <row r="495">
      <c r="G495" s="60"/>
      <c r="J495" s="61"/>
      <c r="K495" s="62"/>
      <c r="L495" s="62"/>
      <c r="M495" s="62"/>
    </row>
    <row r="496">
      <c r="G496" s="60"/>
      <c r="J496" s="61"/>
      <c r="K496" s="62"/>
      <c r="L496" s="62"/>
      <c r="M496" s="62"/>
    </row>
    <row r="497">
      <c r="G497" s="60"/>
      <c r="J497" s="61"/>
      <c r="K497" s="62"/>
      <c r="L497" s="62"/>
      <c r="M497" s="62"/>
    </row>
    <row r="498">
      <c r="G498" s="60"/>
      <c r="J498" s="61"/>
      <c r="K498" s="62"/>
      <c r="L498" s="62"/>
      <c r="M498" s="62"/>
    </row>
    <row r="499">
      <c r="G499" s="60"/>
      <c r="J499" s="61"/>
      <c r="K499" s="62"/>
      <c r="L499" s="62"/>
      <c r="M499" s="62"/>
    </row>
    <row r="500">
      <c r="G500" s="60"/>
      <c r="J500" s="61"/>
      <c r="K500" s="62"/>
      <c r="L500" s="62"/>
      <c r="M500" s="62"/>
    </row>
    <row r="501">
      <c r="G501" s="60"/>
      <c r="J501" s="61"/>
      <c r="K501" s="62"/>
      <c r="L501" s="62"/>
      <c r="M501" s="62"/>
    </row>
    <row r="502">
      <c r="G502" s="60"/>
      <c r="J502" s="61"/>
      <c r="K502" s="62"/>
      <c r="L502" s="62"/>
      <c r="M502" s="62"/>
    </row>
    <row r="503">
      <c r="G503" s="60"/>
      <c r="J503" s="61"/>
      <c r="K503" s="62"/>
      <c r="L503" s="62"/>
      <c r="M503" s="62"/>
    </row>
    <row r="504">
      <c r="G504" s="60"/>
      <c r="J504" s="61"/>
      <c r="K504" s="62"/>
      <c r="L504" s="62"/>
      <c r="M504" s="62"/>
    </row>
    <row r="505">
      <c r="G505" s="60"/>
      <c r="J505" s="61"/>
      <c r="K505" s="62"/>
      <c r="L505" s="62"/>
      <c r="M505" s="62"/>
    </row>
    <row r="506">
      <c r="G506" s="60"/>
      <c r="J506" s="61"/>
      <c r="K506" s="62"/>
      <c r="L506" s="62"/>
      <c r="M506" s="62"/>
    </row>
    <row r="507">
      <c r="G507" s="60"/>
      <c r="J507" s="61"/>
      <c r="K507" s="62"/>
      <c r="L507" s="62"/>
      <c r="M507" s="62"/>
    </row>
    <row r="508">
      <c r="G508" s="60"/>
      <c r="J508" s="61"/>
      <c r="K508" s="62"/>
      <c r="L508" s="62"/>
      <c r="M508" s="62"/>
    </row>
    <row r="509">
      <c r="G509" s="60"/>
      <c r="J509" s="61"/>
      <c r="K509" s="62"/>
      <c r="L509" s="62"/>
      <c r="M509" s="62"/>
    </row>
    <row r="510">
      <c r="G510" s="60"/>
      <c r="J510" s="61"/>
      <c r="K510" s="62"/>
      <c r="L510" s="62"/>
      <c r="M510" s="62"/>
    </row>
    <row r="511">
      <c r="G511" s="60"/>
      <c r="J511" s="61"/>
      <c r="K511" s="62"/>
      <c r="L511" s="62"/>
      <c r="M511" s="62"/>
    </row>
    <row r="512">
      <c r="G512" s="60"/>
      <c r="J512" s="61"/>
      <c r="K512" s="62"/>
      <c r="L512" s="62"/>
      <c r="M512" s="62"/>
    </row>
    <row r="513">
      <c r="G513" s="60"/>
      <c r="J513" s="61"/>
      <c r="K513" s="62"/>
      <c r="L513" s="62"/>
      <c r="M513" s="62"/>
    </row>
    <row r="514">
      <c r="G514" s="60"/>
      <c r="J514" s="61"/>
      <c r="K514" s="62"/>
      <c r="L514" s="62"/>
      <c r="M514" s="62"/>
    </row>
    <row r="515">
      <c r="G515" s="60"/>
      <c r="J515" s="61"/>
      <c r="K515" s="62"/>
      <c r="L515" s="62"/>
      <c r="M515" s="62"/>
    </row>
    <row r="516">
      <c r="G516" s="60"/>
      <c r="J516" s="61"/>
      <c r="K516" s="62"/>
      <c r="L516" s="62"/>
      <c r="M516" s="62"/>
    </row>
    <row r="517">
      <c r="G517" s="60"/>
      <c r="J517" s="61"/>
      <c r="K517" s="62"/>
      <c r="L517" s="62"/>
      <c r="M517" s="62"/>
    </row>
    <row r="518">
      <c r="G518" s="60"/>
      <c r="J518" s="61"/>
      <c r="K518" s="62"/>
      <c r="L518" s="62"/>
      <c r="M518" s="62"/>
    </row>
    <row r="519">
      <c r="G519" s="60"/>
      <c r="J519" s="61"/>
      <c r="K519" s="62"/>
      <c r="L519" s="62"/>
      <c r="M519" s="62"/>
    </row>
    <row r="520">
      <c r="G520" s="60"/>
      <c r="J520" s="61"/>
      <c r="K520" s="62"/>
      <c r="L520" s="62"/>
      <c r="M520" s="62"/>
    </row>
    <row r="521">
      <c r="G521" s="60"/>
      <c r="J521" s="61"/>
      <c r="K521" s="62"/>
      <c r="L521" s="62"/>
      <c r="M521" s="62"/>
    </row>
    <row r="522">
      <c r="G522" s="60"/>
      <c r="J522" s="61"/>
      <c r="K522" s="62"/>
      <c r="L522" s="62"/>
      <c r="M522" s="62"/>
    </row>
    <row r="523">
      <c r="G523" s="60"/>
      <c r="J523" s="61"/>
      <c r="K523" s="62"/>
      <c r="L523" s="62"/>
      <c r="M523" s="62"/>
    </row>
    <row r="524">
      <c r="G524" s="60"/>
      <c r="J524" s="61"/>
      <c r="K524" s="62"/>
      <c r="L524" s="62"/>
      <c r="M524" s="62"/>
    </row>
    <row r="525">
      <c r="G525" s="60"/>
      <c r="J525" s="61"/>
      <c r="K525" s="62"/>
      <c r="L525" s="62"/>
      <c r="M525" s="62"/>
    </row>
    <row r="526">
      <c r="G526" s="60"/>
      <c r="J526" s="61"/>
      <c r="K526" s="62"/>
      <c r="L526" s="62"/>
      <c r="M526" s="62"/>
    </row>
    <row r="527">
      <c r="G527" s="60"/>
      <c r="J527" s="61"/>
      <c r="K527" s="62"/>
      <c r="L527" s="62"/>
      <c r="M527" s="62"/>
    </row>
    <row r="528">
      <c r="G528" s="60"/>
      <c r="J528" s="61"/>
      <c r="K528" s="62"/>
      <c r="L528" s="62"/>
      <c r="M528" s="62"/>
    </row>
    <row r="529">
      <c r="G529" s="60"/>
      <c r="J529" s="61"/>
      <c r="K529" s="62"/>
      <c r="L529" s="62"/>
      <c r="M529" s="62"/>
    </row>
    <row r="530">
      <c r="G530" s="60"/>
      <c r="J530" s="61"/>
      <c r="K530" s="62"/>
      <c r="L530" s="62"/>
      <c r="M530" s="62"/>
    </row>
    <row r="531">
      <c r="G531" s="60"/>
      <c r="J531" s="61"/>
      <c r="K531" s="62"/>
      <c r="L531" s="62"/>
      <c r="M531" s="62"/>
    </row>
    <row r="532">
      <c r="G532" s="60"/>
      <c r="J532" s="61"/>
      <c r="K532" s="62"/>
      <c r="L532" s="62"/>
      <c r="M532" s="62"/>
    </row>
    <row r="533">
      <c r="G533" s="60"/>
      <c r="J533" s="61"/>
      <c r="K533" s="62"/>
      <c r="L533" s="62"/>
      <c r="M533" s="62"/>
    </row>
    <row r="534">
      <c r="G534" s="60"/>
      <c r="J534" s="61"/>
      <c r="K534" s="62"/>
      <c r="L534" s="62"/>
      <c r="M534" s="62"/>
    </row>
    <row r="535">
      <c r="G535" s="60"/>
      <c r="J535" s="61"/>
      <c r="K535" s="62"/>
      <c r="L535" s="62"/>
      <c r="M535" s="62"/>
    </row>
    <row r="536">
      <c r="G536" s="60"/>
      <c r="J536" s="61"/>
      <c r="K536" s="62"/>
      <c r="L536" s="62"/>
      <c r="M536" s="62"/>
    </row>
    <row r="537">
      <c r="G537" s="60"/>
      <c r="J537" s="61"/>
      <c r="K537" s="62"/>
      <c r="L537" s="62"/>
      <c r="M537" s="62"/>
    </row>
    <row r="538">
      <c r="G538" s="60"/>
      <c r="J538" s="61"/>
      <c r="K538" s="62"/>
      <c r="L538" s="62"/>
      <c r="M538" s="62"/>
    </row>
    <row r="539">
      <c r="G539" s="60"/>
      <c r="J539" s="61"/>
      <c r="K539" s="62"/>
      <c r="L539" s="62"/>
      <c r="M539" s="62"/>
    </row>
    <row r="540">
      <c r="G540" s="60"/>
      <c r="J540" s="61"/>
      <c r="K540" s="62"/>
      <c r="L540" s="62"/>
      <c r="M540" s="62"/>
    </row>
    <row r="541">
      <c r="G541" s="60"/>
      <c r="J541" s="61"/>
      <c r="K541" s="62"/>
      <c r="L541" s="62"/>
      <c r="M541" s="62"/>
    </row>
    <row r="542">
      <c r="G542" s="60"/>
      <c r="J542" s="61"/>
      <c r="K542" s="62"/>
      <c r="L542" s="62"/>
      <c r="M542" s="62"/>
    </row>
    <row r="543">
      <c r="G543" s="60"/>
      <c r="J543" s="61"/>
      <c r="K543" s="62"/>
      <c r="L543" s="62"/>
      <c r="M543" s="62"/>
    </row>
    <row r="544">
      <c r="G544" s="60"/>
      <c r="J544" s="61"/>
      <c r="K544" s="62"/>
      <c r="L544" s="62"/>
      <c r="M544" s="62"/>
    </row>
    <row r="545">
      <c r="G545" s="60"/>
      <c r="J545" s="61"/>
      <c r="K545" s="62"/>
      <c r="L545" s="62"/>
      <c r="M545" s="62"/>
    </row>
    <row r="546">
      <c r="G546" s="60"/>
      <c r="J546" s="61"/>
      <c r="K546" s="62"/>
      <c r="L546" s="62"/>
      <c r="M546" s="62"/>
    </row>
    <row r="547">
      <c r="G547" s="60"/>
      <c r="J547" s="61"/>
      <c r="K547" s="62"/>
      <c r="L547" s="62"/>
      <c r="M547" s="62"/>
    </row>
    <row r="548">
      <c r="G548" s="60"/>
      <c r="J548" s="61"/>
      <c r="K548" s="62"/>
      <c r="L548" s="62"/>
      <c r="M548" s="62"/>
    </row>
    <row r="549">
      <c r="G549" s="60"/>
      <c r="J549" s="61"/>
      <c r="K549" s="62"/>
      <c r="L549" s="62"/>
      <c r="M549" s="62"/>
    </row>
    <row r="550">
      <c r="G550" s="60"/>
      <c r="J550" s="61"/>
      <c r="K550" s="62"/>
      <c r="L550" s="62"/>
      <c r="M550" s="62"/>
    </row>
    <row r="551">
      <c r="G551" s="60"/>
      <c r="J551" s="61"/>
      <c r="K551" s="62"/>
      <c r="L551" s="62"/>
      <c r="M551" s="62"/>
    </row>
    <row r="552">
      <c r="G552" s="60"/>
      <c r="J552" s="61"/>
      <c r="K552" s="62"/>
      <c r="L552" s="62"/>
      <c r="M552" s="62"/>
    </row>
    <row r="553">
      <c r="G553" s="60"/>
      <c r="J553" s="61"/>
      <c r="K553" s="62"/>
      <c r="L553" s="62"/>
      <c r="M553" s="62"/>
    </row>
    <row r="554">
      <c r="G554" s="60"/>
      <c r="J554" s="61"/>
      <c r="K554" s="62"/>
      <c r="L554" s="62"/>
      <c r="M554" s="62"/>
    </row>
    <row r="555">
      <c r="G555" s="60"/>
      <c r="J555" s="61"/>
      <c r="K555" s="62"/>
      <c r="L555" s="62"/>
      <c r="M555" s="62"/>
    </row>
    <row r="556">
      <c r="G556" s="60"/>
      <c r="J556" s="61"/>
      <c r="K556" s="62"/>
      <c r="L556" s="62"/>
      <c r="M556" s="62"/>
    </row>
    <row r="557">
      <c r="G557" s="60"/>
      <c r="J557" s="61"/>
      <c r="K557" s="62"/>
      <c r="L557" s="62"/>
      <c r="M557" s="62"/>
    </row>
    <row r="558">
      <c r="G558" s="60"/>
      <c r="J558" s="61"/>
      <c r="K558" s="62"/>
      <c r="L558" s="62"/>
      <c r="M558" s="62"/>
    </row>
    <row r="559">
      <c r="G559" s="60"/>
      <c r="J559" s="61"/>
      <c r="K559" s="62"/>
      <c r="L559" s="62"/>
      <c r="M559" s="62"/>
    </row>
    <row r="560">
      <c r="G560" s="60"/>
      <c r="J560" s="61"/>
      <c r="K560" s="62"/>
      <c r="L560" s="62"/>
      <c r="M560" s="62"/>
    </row>
    <row r="561">
      <c r="G561" s="60"/>
      <c r="J561" s="61"/>
      <c r="K561" s="62"/>
      <c r="L561" s="62"/>
      <c r="M561" s="62"/>
    </row>
    <row r="562">
      <c r="G562" s="60"/>
      <c r="J562" s="61"/>
      <c r="K562" s="62"/>
      <c r="L562" s="62"/>
      <c r="M562" s="62"/>
    </row>
    <row r="563">
      <c r="G563" s="60"/>
      <c r="J563" s="61"/>
      <c r="K563" s="62"/>
      <c r="L563" s="62"/>
      <c r="M563" s="62"/>
    </row>
    <row r="564">
      <c r="G564" s="60"/>
      <c r="J564" s="61"/>
      <c r="K564" s="62"/>
      <c r="L564" s="62"/>
      <c r="M564" s="62"/>
    </row>
    <row r="565">
      <c r="G565" s="60"/>
      <c r="J565" s="61"/>
      <c r="K565" s="62"/>
      <c r="L565" s="62"/>
      <c r="M565" s="62"/>
    </row>
    <row r="566">
      <c r="G566" s="60"/>
      <c r="J566" s="61"/>
      <c r="K566" s="62"/>
      <c r="L566" s="62"/>
      <c r="M566" s="62"/>
    </row>
    <row r="567">
      <c r="G567" s="60"/>
      <c r="J567" s="61"/>
      <c r="K567" s="62"/>
      <c r="L567" s="62"/>
      <c r="M567" s="62"/>
    </row>
    <row r="568">
      <c r="G568" s="60"/>
      <c r="J568" s="61"/>
      <c r="K568" s="62"/>
      <c r="L568" s="62"/>
      <c r="M568" s="62"/>
    </row>
    <row r="569">
      <c r="G569" s="60"/>
      <c r="J569" s="61"/>
      <c r="K569" s="62"/>
      <c r="L569" s="62"/>
      <c r="M569" s="62"/>
    </row>
    <row r="570">
      <c r="G570" s="60"/>
      <c r="J570" s="61"/>
      <c r="K570" s="62"/>
      <c r="L570" s="62"/>
      <c r="M570" s="62"/>
    </row>
    <row r="571">
      <c r="G571" s="60"/>
      <c r="J571" s="61"/>
      <c r="K571" s="62"/>
      <c r="L571" s="62"/>
      <c r="M571" s="62"/>
    </row>
    <row r="572">
      <c r="G572" s="60"/>
      <c r="J572" s="61"/>
      <c r="K572" s="62"/>
      <c r="L572" s="62"/>
      <c r="M572" s="62"/>
    </row>
    <row r="573">
      <c r="G573" s="60"/>
      <c r="J573" s="61"/>
      <c r="K573" s="62"/>
      <c r="L573" s="62"/>
      <c r="M573" s="62"/>
    </row>
    <row r="574">
      <c r="G574" s="60"/>
      <c r="J574" s="61"/>
      <c r="K574" s="62"/>
      <c r="L574" s="62"/>
      <c r="M574" s="62"/>
    </row>
    <row r="575">
      <c r="G575" s="60"/>
      <c r="J575" s="61"/>
      <c r="K575" s="62"/>
      <c r="L575" s="62"/>
      <c r="M575" s="62"/>
    </row>
    <row r="576">
      <c r="G576" s="60"/>
      <c r="J576" s="61"/>
      <c r="K576" s="62"/>
      <c r="L576" s="62"/>
      <c r="M576" s="62"/>
    </row>
    <row r="577">
      <c r="G577" s="60"/>
      <c r="J577" s="61"/>
      <c r="K577" s="62"/>
      <c r="L577" s="62"/>
      <c r="M577" s="62"/>
    </row>
    <row r="578">
      <c r="G578" s="60"/>
      <c r="J578" s="61"/>
      <c r="K578" s="62"/>
      <c r="L578" s="62"/>
      <c r="M578" s="62"/>
    </row>
    <row r="579">
      <c r="G579" s="60"/>
      <c r="J579" s="61"/>
      <c r="K579" s="62"/>
      <c r="L579" s="62"/>
      <c r="M579" s="62"/>
    </row>
    <row r="580">
      <c r="G580" s="60"/>
      <c r="J580" s="61"/>
      <c r="K580" s="62"/>
      <c r="L580" s="62"/>
      <c r="M580" s="62"/>
    </row>
    <row r="581">
      <c r="G581" s="60"/>
      <c r="J581" s="61"/>
      <c r="K581" s="62"/>
      <c r="L581" s="62"/>
      <c r="M581" s="62"/>
    </row>
    <row r="582">
      <c r="G582" s="60"/>
      <c r="J582" s="61"/>
      <c r="K582" s="62"/>
      <c r="L582" s="62"/>
      <c r="M582" s="62"/>
    </row>
    <row r="583">
      <c r="G583" s="60"/>
      <c r="J583" s="61"/>
      <c r="K583" s="62"/>
      <c r="L583" s="62"/>
      <c r="M583" s="62"/>
    </row>
    <row r="584">
      <c r="G584" s="60"/>
      <c r="J584" s="61"/>
      <c r="K584" s="62"/>
      <c r="L584" s="62"/>
      <c r="M584" s="62"/>
    </row>
    <row r="585">
      <c r="G585" s="60"/>
      <c r="J585" s="61"/>
      <c r="K585" s="62"/>
      <c r="L585" s="62"/>
      <c r="M585" s="62"/>
    </row>
    <row r="586">
      <c r="G586" s="60"/>
      <c r="J586" s="61"/>
      <c r="K586" s="62"/>
      <c r="L586" s="62"/>
      <c r="M586" s="62"/>
    </row>
    <row r="587">
      <c r="G587" s="60"/>
      <c r="J587" s="61"/>
      <c r="K587" s="62"/>
      <c r="L587" s="62"/>
      <c r="M587" s="62"/>
    </row>
    <row r="588">
      <c r="G588" s="60"/>
      <c r="J588" s="61"/>
      <c r="K588" s="62"/>
      <c r="L588" s="62"/>
      <c r="M588" s="62"/>
    </row>
    <row r="589">
      <c r="G589" s="60"/>
      <c r="J589" s="61"/>
      <c r="K589" s="62"/>
      <c r="L589" s="62"/>
      <c r="M589" s="62"/>
    </row>
    <row r="590">
      <c r="G590" s="60"/>
      <c r="J590" s="61"/>
      <c r="K590" s="62"/>
      <c r="L590" s="62"/>
      <c r="M590" s="62"/>
    </row>
    <row r="591">
      <c r="G591" s="60"/>
      <c r="J591" s="61"/>
      <c r="K591" s="62"/>
      <c r="L591" s="62"/>
      <c r="M591" s="62"/>
    </row>
    <row r="592">
      <c r="G592" s="60"/>
      <c r="J592" s="61"/>
      <c r="K592" s="62"/>
      <c r="L592" s="62"/>
      <c r="M592" s="62"/>
    </row>
    <row r="593">
      <c r="G593" s="60"/>
      <c r="J593" s="61"/>
      <c r="K593" s="62"/>
      <c r="L593" s="62"/>
      <c r="M593" s="62"/>
    </row>
    <row r="594">
      <c r="G594" s="60"/>
      <c r="J594" s="61"/>
      <c r="K594" s="62"/>
      <c r="L594" s="62"/>
      <c r="M594" s="62"/>
    </row>
    <row r="595">
      <c r="G595" s="60"/>
      <c r="J595" s="61"/>
      <c r="K595" s="62"/>
      <c r="L595" s="62"/>
      <c r="M595" s="62"/>
    </row>
    <row r="596">
      <c r="G596" s="60"/>
      <c r="J596" s="61"/>
      <c r="K596" s="62"/>
      <c r="L596" s="62"/>
      <c r="M596" s="62"/>
    </row>
    <row r="597">
      <c r="G597" s="60"/>
      <c r="J597" s="61"/>
      <c r="K597" s="62"/>
      <c r="L597" s="62"/>
      <c r="M597" s="62"/>
    </row>
    <row r="598">
      <c r="G598" s="60"/>
      <c r="J598" s="61"/>
      <c r="K598" s="62"/>
      <c r="L598" s="62"/>
      <c r="M598" s="62"/>
    </row>
    <row r="599">
      <c r="G599" s="60"/>
      <c r="J599" s="61"/>
      <c r="K599" s="62"/>
      <c r="L599" s="62"/>
      <c r="M599" s="62"/>
    </row>
    <row r="600">
      <c r="G600" s="60"/>
      <c r="J600" s="61"/>
      <c r="K600" s="62"/>
      <c r="L600" s="62"/>
      <c r="M600" s="62"/>
    </row>
    <row r="601">
      <c r="G601" s="60"/>
      <c r="J601" s="61"/>
      <c r="K601" s="62"/>
      <c r="L601" s="62"/>
      <c r="M601" s="62"/>
    </row>
    <row r="602">
      <c r="G602" s="60"/>
      <c r="J602" s="61"/>
      <c r="K602" s="62"/>
      <c r="L602" s="62"/>
      <c r="M602" s="62"/>
    </row>
    <row r="603">
      <c r="G603" s="60"/>
      <c r="J603" s="61"/>
      <c r="K603" s="62"/>
      <c r="L603" s="62"/>
      <c r="M603" s="62"/>
    </row>
    <row r="604">
      <c r="G604" s="60"/>
      <c r="J604" s="61"/>
      <c r="K604" s="62"/>
      <c r="L604" s="62"/>
      <c r="M604" s="62"/>
    </row>
    <row r="605">
      <c r="G605" s="60"/>
      <c r="J605" s="61"/>
      <c r="K605" s="62"/>
      <c r="L605" s="62"/>
      <c r="M605" s="62"/>
    </row>
    <row r="606">
      <c r="G606" s="60"/>
      <c r="J606" s="61"/>
      <c r="K606" s="62"/>
      <c r="L606" s="62"/>
      <c r="M606" s="62"/>
    </row>
    <row r="607">
      <c r="G607" s="60"/>
      <c r="J607" s="61"/>
      <c r="K607" s="62"/>
      <c r="L607" s="62"/>
      <c r="M607" s="62"/>
    </row>
    <row r="608">
      <c r="G608" s="60"/>
      <c r="J608" s="61"/>
      <c r="K608" s="62"/>
      <c r="L608" s="62"/>
      <c r="M608" s="62"/>
    </row>
    <row r="609">
      <c r="G609" s="60"/>
      <c r="J609" s="61"/>
      <c r="K609" s="62"/>
      <c r="L609" s="62"/>
      <c r="M609" s="62"/>
    </row>
    <row r="610">
      <c r="G610" s="60"/>
      <c r="J610" s="61"/>
      <c r="K610" s="62"/>
      <c r="L610" s="62"/>
      <c r="M610" s="62"/>
    </row>
    <row r="611">
      <c r="G611" s="60"/>
      <c r="J611" s="61"/>
      <c r="K611" s="62"/>
      <c r="L611" s="62"/>
      <c r="M611" s="62"/>
    </row>
    <row r="612">
      <c r="G612" s="60"/>
      <c r="J612" s="61"/>
      <c r="K612" s="62"/>
      <c r="L612" s="62"/>
      <c r="M612" s="62"/>
    </row>
    <row r="613">
      <c r="G613" s="60"/>
      <c r="J613" s="61"/>
      <c r="K613" s="62"/>
      <c r="L613" s="62"/>
      <c r="M613" s="62"/>
    </row>
    <row r="614">
      <c r="G614" s="60"/>
      <c r="J614" s="61"/>
      <c r="K614" s="62"/>
      <c r="L614" s="62"/>
      <c r="M614" s="62"/>
    </row>
    <row r="615">
      <c r="G615" s="60"/>
      <c r="J615" s="61"/>
      <c r="K615" s="62"/>
      <c r="L615" s="62"/>
      <c r="M615" s="62"/>
    </row>
    <row r="616">
      <c r="G616" s="60"/>
      <c r="J616" s="61"/>
      <c r="K616" s="62"/>
      <c r="L616" s="62"/>
      <c r="M616" s="62"/>
    </row>
    <row r="617">
      <c r="G617" s="60"/>
      <c r="J617" s="61"/>
      <c r="K617" s="62"/>
      <c r="L617" s="62"/>
      <c r="M617" s="62"/>
    </row>
    <row r="618">
      <c r="G618" s="60"/>
      <c r="J618" s="61"/>
      <c r="K618" s="62"/>
      <c r="L618" s="62"/>
      <c r="M618" s="62"/>
    </row>
    <row r="619">
      <c r="G619" s="60"/>
      <c r="J619" s="61"/>
      <c r="K619" s="62"/>
      <c r="L619" s="62"/>
      <c r="M619" s="62"/>
    </row>
    <row r="620">
      <c r="G620" s="60"/>
      <c r="J620" s="61"/>
      <c r="K620" s="62"/>
      <c r="L620" s="62"/>
      <c r="M620" s="62"/>
    </row>
    <row r="621">
      <c r="G621" s="60"/>
      <c r="J621" s="61"/>
      <c r="K621" s="62"/>
      <c r="L621" s="62"/>
      <c r="M621" s="62"/>
    </row>
    <row r="622">
      <c r="G622" s="60"/>
      <c r="J622" s="61"/>
      <c r="K622" s="62"/>
      <c r="L622" s="62"/>
      <c r="M622" s="62"/>
    </row>
    <row r="623">
      <c r="G623" s="60"/>
      <c r="J623" s="61"/>
      <c r="K623" s="62"/>
      <c r="L623" s="62"/>
      <c r="M623" s="62"/>
    </row>
    <row r="624">
      <c r="G624" s="60"/>
      <c r="J624" s="61"/>
      <c r="K624" s="62"/>
      <c r="L624" s="62"/>
      <c r="M624" s="62"/>
    </row>
    <row r="625">
      <c r="G625" s="60"/>
      <c r="J625" s="61"/>
      <c r="K625" s="62"/>
      <c r="L625" s="62"/>
      <c r="M625" s="62"/>
    </row>
    <row r="626">
      <c r="G626" s="60"/>
      <c r="J626" s="61"/>
      <c r="K626" s="62"/>
      <c r="L626" s="62"/>
      <c r="M626" s="62"/>
    </row>
    <row r="627">
      <c r="G627" s="60"/>
      <c r="J627" s="61"/>
      <c r="K627" s="62"/>
      <c r="L627" s="62"/>
      <c r="M627" s="62"/>
    </row>
    <row r="628">
      <c r="G628" s="60"/>
      <c r="J628" s="61"/>
      <c r="K628" s="62"/>
      <c r="L628" s="62"/>
      <c r="M628" s="62"/>
    </row>
    <row r="629">
      <c r="G629" s="60"/>
      <c r="J629" s="61"/>
      <c r="K629" s="62"/>
      <c r="L629" s="62"/>
      <c r="M629" s="62"/>
    </row>
    <row r="630">
      <c r="G630" s="60"/>
      <c r="J630" s="61"/>
      <c r="K630" s="62"/>
      <c r="L630" s="62"/>
      <c r="M630" s="62"/>
    </row>
    <row r="631">
      <c r="G631" s="60"/>
      <c r="J631" s="61"/>
      <c r="K631" s="62"/>
      <c r="L631" s="62"/>
      <c r="M631" s="62"/>
    </row>
    <row r="632">
      <c r="G632" s="60"/>
      <c r="J632" s="61"/>
      <c r="K632" s="62"/>
      <c r="L632" s="62"/>
      <c r="M632" s="62"/>
    </row>
    <row r="633">
      <c r="G633" s="60"/>
      <c r="J633" s="61"/>
      <c r="K633" s="62"/>
      <c r="L633" s="62"/>
      <c r="M633" s="62"/>
    </row>
    <row r="634">
      <c r="G634" s="60"/>
      <c r="J634" s="61"/>
      <c r="K634" s="62"/>
      <c r="L634" s="62"/>
      <c r="M634" s="62"/>
    </row>
    <row r="635">
      <c r="G635" s="60"/>
      <c r="J635" s="61"/>
      <c r="K635" s="62"/>
      <c r="L635" s="62"/>
      <c r="M635" s="62"/>
    </row>
    <row r="636">
      <c r="G636" s="60"/>
      <c r="J636" s="61"/>
      <c r="K636" s="62"/>
      <c r="L636" s="62"/>
      <c r="M636" s="62"/>
    </row>
    <row r="637">
      <c r="G637" s="60"/>
      <c r="J637" s="61"/>
      <c r="K637" s="62"/>
      <c r="L637" s="62"/>
      <c r="M637" s="62"/>
    </row>
    <row r="638">
      <c r="G638" s="60"/>
      <c r="J638" s="61"/>
      <c r="K638" s="62"/>
      <c r="L638" s="62"/>
      <c r="M638" s="62"/>
    </row>
    <row r="639">
      <c r="G639" s="60"/>
      <c r="J639" s="61"/>
      <c r="K639" s="62"/>
      <c r="L639" s="62"/>
      <c r="M639" s="62"/>
    </row>
    <row r="640">
      <c r="G640" s="60"/>
      <c r="J640" s="61"/>
      <c r="K640" s="62"/>
      <c r="L640" s="62"/>
      <c r="M640" s="62"/>
    </row>
    <row r="641">
      <c r="G641" s="60"/>
      <c r="J641" s="61"/>
      <c r="K641" s="62"/>
      <c r="L641" s="62"/>
      <c r="M641" s="62"/>
    </row>
    <row r="642">
      <c r="G642" s="60"/>
      <c r="J642" s="61"/>
      <c r="K642" s="62"/>
      <c r="L642" s="62"/>
      <c r="M642" s="62"/>
    </row>
    <row r="643">
      <c r="G643" s="60"/>
      <c r="J643" s="61"/>
      <c r="K643" s="62"/>
      <c r="L643" s="62"/>
      <c r="M643" s="62"/>
    </row>
    <row r="644">
      <c r="G644" s="60"/>
      <c r="J644" s="61"/>
      <c r="K644" s="62"/>
      <c r="L644" s="62"/>
      <c r="M644" s="62"/>
    </row>
    <row r="645">
      <c r="G645" s="60"/>
      <c r="J645" s="61"/>
      <c r="K645" s="62"/>
      <c r="L645" s="62"/>
      <c r="M645" s="62"/>
    </row>
    <row r="646">
      <c r="G646" s="60"/>
      <c r="J646" s="61"/>
      <c r="K646" s="62"/>
      <c r="L646" s="62"/>
      <c r="M646" s="62"/>
    </row>
    <row r="647">
      <c r="G647" s="60"/>
      <c r="J647" s="61"/>
      <c r="K647" s="62"/>
      <c r="L647" s="62"/>
      <c r="M647" s="62"/>
    </row>
    <row r="648">
      <c r="G648" s="60"/>
      <c r="J648" s="61"/>
      <c r="K648" s="62"/>
      <c r="L648" s="62"/>
      <c r="M648" s="62"/>
    </row>
    <row r="649">
      <c r="G649" s="60"/>
      <c r="J649" s="61"/>
      <c r="K649" s="62"/>
      <c r="L649" s="62"/>
      <c r="M649" s="62"/>
    </row>
    <row r="650">
      <c r="G650" s="60"/>
      <c r="J650" s="61"/>
      <c r="K650" s="62"/>
      <c r="L650" s="62"/>
      <c r="M650" s="62"/>
    </row>
    <row r="651">
      <c r="G651" s="60"/>
      <c r="J651" s="61"/>
      <c r="K651" s="62"/>
      <c r="L651" s="62"/>
      <c r="M651" s="62"/>
    </row>
    <row r="652">
      <c r="G652" s="60"/>
      <c r="J652" s="61"/>
      <c r="K652" s="62"/>
      <c r="L652" s="62"/>
      <c r="M652" s="62"/>
    </row>
    <row r="653">
      <c r="G653" s="60"/>
      <c r="J653" s="61"/>
      <c r="K653" s="62"/>
      <c r="L653" s="62"/>
      <c r="M653" s="62"/>
    </row>
    <row r="654">
      <c r="G654" s="60"/>
      <c r="J654" s="61"/>
      <c r="K654" s="62"/>
      <c r="L654" s="62"/>
      <c r="M654" s="62"/>
    </row>
    <row r="655">
      <c r="G655" s="60"/>
      <c r="J655" s="61"/>
      <c r="K655" s="62"/>
      <c r="L655" s="62"/>
      <c r="M655" s="62"/>
    </row>
    <row r="656">
      <c r="G656" s="60"/>
      <c r="J656" s="61"/>
      <c r="K656" s="62"/>
      <c r="L656" s="62"/>
      <c r="M656" s="62"/>
    </row>
    <row r="657">
      <c r="G657" s="60"/>
      <c r="J657" s="61"/>
      <c r="K657" s="62"/>
      <c r="L657" s="62"/>
      <c r="M657" s="62"/>
    </row>
    <row r="658">
      <c r="G658" s="60"/>
      <c r="J658" s="61"/>
      <c r="K658" s="62"/>
      <c r="L658" s="62"/>
      <c r="M658" s="62"/>
    </row>
    <row r="659">
      <c r="G659" s="60"/>
      <c r="J659" s="61"/>
      <c r="K659" s="62"/>
      <c r="L659" s="62"/>
      <c r="M659" s="62"/>
    </row>
    <row r="660">
      <c r="G660" s="60"/>
      <c r="J660" s="61"/>
      <c r="K660" s="62"/>
      <c r="L660" s="62"/>
      <c r="M660" s="62"/>
    </row>
    <row r="661">
      <c r="G661" s="60"/>
      <c r="J661" s="61"/>
      <c r="K661" s="62"/>
      <c r="L661" s="62"/>
      <c r="M661" s="62"/>
    </row>
    <row r="662">
      <c r="G662" s="60"/>
      <c r="J662" s="61"/>
      <c r="K662" s="62"/>
      <c r="L662" s="62"/>
      <c r="M662" s="62"/>
    </row>
    <row r="663">
      <c r="G663" s="60"/>
      <c r="J663" s="61"/>
      <c r="K663" s="62"/>
      <c r="L663" s="62"/>
      <c r="M663" s="62"/>
    </row>
    <row r="664">
      <c r="G664" s="60"/>
      <c r="J664" s="61"/>
      <c r="K664" s="62"/>
      <c r="L664" s="62"/>
      <c r="M664" s="62"/>
    </row>
    <row r="665">
      <c r="G665" s="60"/>
      <c r="J665" s="61"/>
      <c r="K665" s="62"/>
      <c r="L665" s="62"/>
      <c r="M665" s="62"/>
    </row>
    <row r="666">
      <c r="G666" s="60"/>
      <c r="J666" s="61"/>
      <c r="K666" s="62"/>
      <c r="L666" s="62"/>
      <c r="M666" s="62"/>
    </row>
    <row r="667">
      <c r="G667" s="60"/>
      <c r="J667" s="61"/>
      <c r="K667" s="62"/>
      <c r="L667" s="62"/>
      <c r="M667" s="62"/>
    </row>
    <row r="668">
      <c r="G668" s="60"/>
      <c r="J668" s="61"/>
      <c r="K668" s="62"/>
      <c r="L668" s="62"/>
      <c r="M668" s="62"/>
    </row>
    <row r="669">
      <c r="G669" s="60"/>
      <c r="J669" s="61"/>
      <c r="K669" s="62"/>
      <c r="L669" s="62"/>
      <c r="M669" s="62"/>
    </row>
    <row r="670">
      <c r="G670" s="60"/>
      <c r="J670" s="61"/>
      <c r="K670" s="62"/>
      <c r="L670" s="62"/>
      <c r="M670" s="62"/>
    </row>
    <row r="671">
      <c r="G671" s="60"/>
      <c r="J671" s="61"/>
      <c r="K671" s="62"/>
      <c r="L671" s="62"/>
      <c r="M671" s="62"/>
    </row>
    <row r="672">
      <c r="G672" s="60"/>
      <c r="J672" s="61"/>
      <c r="K672" s="62"/>
      <c r="L672" s="62"/>
      <c r="M672" s="62"/>
    </row>
    <row r="673">
      <c r="G673" s="60"/>
      <c r="J673" s="61"/>
      <c r="K673" s="62"/>
      <c r="L673" s="62"/>
      <c r="M673" s="62"/>
    </row>
    <row r="674">
      <c r="G674" s="60"/>
      <c r="J674" s="61"/>
      <c r="K674" s="62"/>
      <c r="L674" s="62"/>
      <c r="M674" s="62"/>
    </row>
    <row r="675">
      <c r="G675" s="60"/>
      <c r="J675" s="61"/>
      <c r="K675" s="62"/>
      <c r="L675" s="62"/>
      <c r="M675" s="62"/>
    </row>
    <row r="676">
      <c r="G676" s="60"/>
      <c r="J676" s="61"/>
      <c r="K676" s="62"/>
      <c r="L676" s="62"/>
      <c r="M676" s="62"/>
    </row>
    <row r="677">
      <c r="G677" s="60"/>
      <c r="J677" s="61"/>
      <c r="K677" s="62"/>
      <c r="L677" s="62"/>
      <c r="M677" s="62"/>
    </row>
    <row r="678">
      <c r="G678" s="60"/>
      <c r="J678" s="61"/>
      <c r="K678" s="62"/>
      <c r="L678" s="62"/>
      <c r="M678" s="62"/>
    </row>
    <row r="679">
      <c r="G679" s="60"/>
      <c r="J679" s="61"/>
      <c r="K679" s="62"/>
      <c r="L679" s="62"/>
      <c r="M679" s="62"/>
    </row>
    <row r="680">
      <c r="G680" s="60"/>
      <c r="J680" s="61"/>
      <c r="K680" s="62"/>
      <c r="L680" s="62"/>
      <c r="M680" s="62"/>
    </row>
    <row r="681">
      <c r="G681" s="60"/>
      <c r="J681" s="61"/>
      <c r="K681" s="62"/>
      <c r="L681" s="62"/>
      <c r="M681" s="62"/>
    </row>
    <row r="682">
      <c r="G682" s="60"/>
      <c r="J682" s="61"/>
      <c r="K682" s="62"/>
      <c r="L682" s="62"/>
      <c r="M682" s="62"/>
    </row>
    <row r="683">
      <c r="G683" s="60"/>
      <c r="J683" s="61"/>
      <c r="K683" s="62"/>
      <c r="L683" s="62"/>
      <c r="M683" s="62"/>
    </row>
    <row r="684">
      <c r="G684" s="60"/>
      <c r="J684" s="61"/>
      <c r="K684" s="62"/>
      <c r="L684" s="62"/>
      <c r="M684" s="62"/>
    </row>
    <row r="685">
      <c r="G685" s="60"/>
      <c r="J685" s="61"/>
      <c r="K685" s="62"/>
      <c r="L685" s="62"/>
      <c r="M685" s="62"/>
    </row>
    <row r="686">
      <c r="G686" s="60"/>
      <c r="J686" s="61"/>
      <c r="K686" s="62"/>
      <c r="L686" s="62"/>
      <c r="M686" s="62"/>
    </row>
    <row r="687">
      <c r="G687" s="60"/>
      <c r="J687" s="61"/>
      <c r="K687" s="62"/>
      <c r="L687" s="62"/>
      <c r="M687" s="62"/>
    </row>
    <row r="688">
      <c r="G688" s="60"/>
      <c r="J688" s="61"/>
      <c r="K688" s="62"/>
      <c r="L688" s="62"/>
      <c r="M688" s="62"/>
    </row>
    <row r="689">
      <c r="G689" s="60"/>
      <c r="J689" s="61"/>
      <c r="K689" s="62"/>
      <c r="L689" s="62"/>
      <c r="M689" s="62"/>
    </row>
    <row r="690">
      <c r="G690" s="60"/>
      <c r="J690" s="61"/>
      <c r="K690" s="62"/>
      <c r="L690" s="62"/>
      <c r="M690" s="62"/>
    </row>
    <row r="691">
      <c r="G691" s="60"/>
      <c r="J691" s="61"/>
      <c r="K691" s="62"/>
      <c r="L691" s="62"/>
      <c r="M691" s="62"/>
    </row>
    <row r="692">
      <c r="G692" s="60"/>
      <c r="J692" s="61"/>
      <c r="K692" s="62"/>
      <c r="L692" s="62"/>
      <c r="M692" s="62"/>
    </row>
    <row r="693">
      <c r="G693" s="60"/>
      <c r="J693" s="61"/>
      <c r="K693" s="62"/>
      <c r="L693" s="62"/>
      <c r="M693" s="62"/>
    </row>
    <row r="694">
      <c r="G694" s="60"/>
      <c r="J694" s="61"/>
      <c r="K694" s="62"/>
      <c r="L694" s="62"/>
      <c r="M694" s="62"/>
    </row>
    <row r="695">
      <c r="G695" s="60"/>
      <c r="J695" s="61"/>
      <c r="K695" s="62"/>
      <c r="L695" s="62"/>
      <c r="M695" s="62"/>
    </row>
    <row r="696">
      <c r="G696" s="60"/>
      <c r="J696" s="61"/>
      <c r="K696" s="62"/>
      <c r="L696" s="62"/>
      <c r="M696" s="62"/>
    </row>
    <row r="697">
      <c r="G697" s="60"/>
      <c r="J697" s="61"/>
      <c r="K697" s="62"/>
      <c r="L697" s="62"/>
      <c r="M697" s="62"/>
    </row>
    <row r="698">
      <c r="G698" s="60"/>
      <c r="J698" s="61"/>
      <c r="K698" s="62"/>
      <c r="L698" s="62"/>
      <c r="M698" s="62"/>
    </row>
    <row r="699">
      <c r="G699" s="60"/>
      <c r="J699" s="61"/>
      <c r="K699" s="62"/>
      <c r="L699" s="62"/>
      <c r="M699" s="62"/>
    </row>
    <row r="700">
      <c r="G700" s="60"/>
      <c r="J700" s="61"/>
      <c r="K700" s="62"/>
      <c r="L700" s="62"/>
      <c r="M700" s="62"/>
    </row>
    <row r="701">
      <c r="G701" s="60"/>
      <c r="J701" s="61"/>
      <c r="K701" s="62"/>
      <c r="L701" s="62"/>
      <c r="M701" s="62"/>
    </row>
    <row r="702">
      <c r="G702" s="60"/>
      <c r="J702" s="61"/>
      <c r="K702" s="62"/>
      <c r="L702" s="62"/>
      <c r="M702" s="62"/>
    </row>
    <row r="703">
      <c r="G703" s="60"/>
      <c r="J703" s="61"/>
      <c r="K703" s="62"/>
      <c r="L703" s="62"/>
      <c r="M703" s="62"/>
    </row>
    <row r="704">
      <c r="G704" s="60"/>
      <c r="J704" s="61"/>
      <c r="K704" s="62"/>
      <c r="L704" s="62"/>
      <c r="M704" s="62"/>
    </row>
    <row r="705">
      <c r="G705" s="60"/>
      <c r="J705" s="61"/>
      <c r="K705" s="62"/>
      <c r="L705" s="62"/>
      <c r="M705" s="62"/>
    </row>
    <row r="706">
      <c r="G706" s="60"/>
      <c r="J706" s="61"/>
      <c r="K706" s="62"/>
      <c r="L706" s="62"/>
      <c r="M706" s="62"/>
    </row>
    <row r="707">
      <c r="G707" s="60"/>
      <c r="J707" s="61"/>
      <c r="K707" s="62"/>
      <c r="L707" s="62"/>
      <c r="M707" s="62"/>
    </row>
    <row r="708">
      <c r="G708" s="60"/>
      <c r="J708" s="61"/>
      <c r="K708" s="62"/>
      <c r="L708" s="62"/>
      <c r="M708" s="62"/>
    </row>
    <row r="709">
      <c r="G709" s="60"/>
      <c r="J709" s="61"/>
      <c r="K709" s="62"/>
      <c r="L709" s="62"/>
      <c r="M709" s="62"/>
    </row>
    <row r="710">
      <c r="G710" s="60"/>
      <c r="J710" s="61"/>
      <c r="K710" s="62"/>
      <c r="L710" s="62"/>
      <c r="M710" s="62"/>
    </row>
    <row r="711">
      <c r="G711" s="60"/>
      <c r="J711" s="61"/>
      <c r="K711" s="62"/>
      <c r="L711" s="62"/>
      <c r="M711" s="62"/>
    </row>
    <row r="712">
      <c r="G712" s="60"/>
      <c r="J712" s="61"/>
      <c r="K712" s="62"/>
      <c r="L712" s="62"/>
      <c r="M712" s="62"/>
    </row>
    <row r="713">
      <c r="G713" s="60"/>
      <c r="J713" s="61"/>
      <c r="K713" s="62"/>
      <c r="L713" s="62"/>
      <c r="M713" s="62"/>
    </row>
    <row r="714">
      <c r="G714" s="60"/>
      <c r="J714" s="61"/>
      <c r="K714" s="62"/>
      <c r="L714" s="62"/>
      <c r="M714" s="62"/>
    </row>
    <row r="715">
      <c r="G715" s="60"/>
      <c r="J715" s="61"/>
      <c r="K715" s="62"/>
      <c r="L715" s="62"/>
      <c r="M715" s="62"/>
    </row>
    <row r="716">
      <c r="G716" s="60"/>
      <c r="J716" s="61"/>
      <c r="K716" s="62"/>
      <c r="L716" s="62"/>
      <c r="M716" s="62"/>
    </row>
    <row r="717">
      <c r="G717" s="60"/>
      <c r="J717" s="61"/>
      <c r="K717" s="62"/>
      <c r="L717" s="62"/>
      <c r="M717" s="62"/>
    </row>
    <row r="718">
      <c r="G718" s="60"/>
      <c r="J718" s="61"/>
      <c r="K718" s="62"/>
      <c r="L718" s="62"/>
      <c r="M718" s="62"/>
    </row>
    <row r="719">
      <c r="G719" s="60"/>
      <c r="J719" s="61"/>
      <c r="K719" s="62"/>
      <c r="L719" s="62"/>
      <c r="M719" s="62"/>
    </row>
    <row r="720">
      <c r="G720" s="60"/>
      <c r="J720" s="61"/>
      <c r="K720" s="62"/>
      <c r="L720" s="62"/>
      <c r="M720" s="62"/>
    </row>
    <row r="721">
      <c r="G721" s="60"/>
      <c r="J721" s="61"/>
      <c r="K721" s="62"/>
      <c r="L721" s="62"/>
      <c r="M721" s="62"/>
    </row>
    <row r="722">
      <c r="G722" s="60"/>
      <c r="J722" s="61"/>
      <c r="K722" s="62"/>
      <c r="L722" s="62"/>
      <c r="M722" s="62"/>
    </row>
    <row r="723">
      <c r="G723" s="60"/>
      <c r="J723" s="61"/>
      <c r="K723" s="62"/>
      <c r="L723" s="62"/>
      <c r="M723" s="62"/>
    </row>
    <row r="724">
      <c r="G724" s="60"/>
      <c r="J724" s="61"/>
      <c r="K724" s="62"/>
      <c r="L724" s="62"/>
      <c r="M724" s="62"/>
    </row>
    <row r="725">
      <c r="G725" s="60"/>
      <c r="J725" s="61"/>
      <c r="K725" s="62"/>
      <c r="L725" s="62"/>
      <c r="M725" s="62"/>
    </row>
    <row r="726">
      <c r="G726" s="60"/>
      <c r="J726" s="61"/>
      <c r="K726" s="62"/>
      <c r="L726" s="62"/>
      <c r="M726" s="62"/>
    </row>
    <row r="727">
      <c r="G727" s="60"/>
      <c r="J727" s="61"/>
      <c r="K727" s="62"/>
      <c r="L727" s="62"/>
      <c r="M727" s="62"/>
    </row>
    <row r="728">
      <c r="G728" s="60"/>
      <c r="J728" s="61"/>
      <c r="K728" s="62"/>
      <c r="L728" s="62"/>
      <c r="M728" s="62"/>
    </row>
    <row r="729">
      <c r="G729" s="60"/>
      <c r="J729" s="61"/>
      <c r="K729" s="62"/>
      <c r="L729" s="62"/>
      <c r="M729" s="62"/>
    </row>
    <row r="730">
      <c r="G730" s="60"/>
      <c r="J730" s="61"/>
      <c r="K730" s="62"/>
      <c r="L730" s="62"/>
      <c r="M730" s="62"/>
    </row>
    <row r="731">
      <c r="G731" s="60"/>
      <c r="J731" s="61"/>
      <c r="K731" s="62"/>
      <c r="L731" s="62"/>
      <c r="M731" s="62"/>
    </row>
    <row r="732">
      <c r="G732" s="60"/>
      <c r="J732" s="61"/>
      <c r="K732" s="62"/>
      <c r="L732" s="62"/>
      <c r="M732" s="62"/>
    </row>
    <row r="733">
      <c r="G733" s="60"/>
      <c r="J733" s="61"/>
      <c r="K733" s="62"/>
      <c r="L733" s="62"/>
      <c r="M733" s="62"/>
    </row>
    <row r="734">
      <c r="G734" s="60"/>
      <c r="J734" s="61"/>
      <c r="K734" s="62"/>
      <c r="L734" s="62"/>
      <c r="M734" s="62"/>
    </row>
    <row r="735">
      <c r="G735" s="60"/>
      <c r="J735" s="61"/>
      <c r="K735" s="62"/>
      <c r="L735" s="62"/>
      <c r="M735" s="62"/>
    </row>
    <row r="736">
      <c r="G736" s="60"/>
      <c r="J736" s="61"/>
      <c r="K736" s="62"/>
      <c r="L736" s="62"/>
      <c r="M736" s="62"/>
    </row>
    <row r="737">
      <c r="G737" s="60"/>
      <c r="J737" s="61"/>
      <c r="K737" s="62"/>
      <c r="L737" s="62"/>
      <c r="M737" s="62"/>
    </row>
    <row r="738">
      <c r="G738" s="60"/>
      <c r="J738" s="61"/>
      <c r="K738" s="62"/>
      <c r="L738" s="62"/>
      <c r="M738" s="62"/>
    </row>
    <row r="739">
      <c r="G739" s="60"/>
      <c r="J739" s="61"/>
      <c r="K739" s="62"/>
      <c r="L739" s="62"/>
      <c r="M739" s="62"/>
    </row>
    <row r="740">
      <c r="G740" s="60"/>
      <c r="J740" s="61"/>
      <c r="K740" s="62"/>
      <c r="L740" s="62"/>
      <c r="M740" s="62"/>
    </row>
    <row r="741">
      <c r="G741" s="60"/>
      <c r="J741" s="61"/>
      <c r="K741" s="62"/>
      <c r="L741" s="62"/>
      <c r="M741" s="62"/>
    </row>
    <row r="742">
      <c r="G742" s="60"/>
      <c r="J742" s="61"/>
      <c r="K742" s="62"/>
      <c r="L742" s="62"/>
      <c r="M742" s="62"/>
    </row>
    <row r="743">
      <c r="G743" s="60"/>
      <c r="J743" s="61"/>
      <c r="K743" s="62"/>
      <c r="L743" s="62"/>
      <c r="M743" s="62"/>
    </row>
    <row r="744">
      <c r="G744" s="60"/>
      <c r="J744" s="61"/>
      <c r="K744" s="62"/>
      <c r="L744" s="62"/>
      <c r="M744" s="62"/>
    </row>
    <row r="745">
      <c r="G745" s="60"/>
      <c r="J745" s="61"/>
      <c r="K745" s="62"/>
      <c r="L745" s="62"/>
      <c r="M745" s="62"/>
    </row>
    <row r="746">
      <c r="G746" s="60"/>
      <c r="J746" s="61"/>
      <c r="K746" s="62"/>
      <c r="L746" s="62"/>
      <c r="M746" s="62"/>
    </row>
    <row r="747">
      <c r="G747" s="60"/>
      <c r="J747" s="61"/>
      <c r="K747" s="62"/>
      <c r="L747" s="62"/>
      <c r="M747" s="62"/>
    </row>
    <row r="748">
      <c r="G748" s="60"/>
      <c r="J748" s="61"/>
      <c r="K748" s="62"/>
      <c r="L748" s="62"/>
      <c r="M748" s="62"/>
    </row>
    <row r="749">
      <c r="G749" s="60"/>
      <c r="J749" s="61"/>
      <c r="K749" s="62"/>
      <c r="L749" s="62"/>
      <c r="M749" s="62"/>
    </row>
    <row r="750">
      <c r="G750" s="60"/>
      <c r="J750" s="61"/>
      <c r="K750" s="62"/>
      <c r="L750" s="62"/>
      <c r="M750" s="62"/>
    </row>
    <row r="751">
      <c r="G751" s="60"/>
      <c r="J751" s="61"/>
      <c r="K751" s="62"/>
      <c r="L751" s="62"/>
      <c r="M751" s="62"/>
    </row>
    <row r="752">
      <c r="G752" s="60"/>
      <c r="J752" s="61"/>
      <c r="K752" s="62"/>
      <c r="L752" s="62"/>
      <c r="M752" s="62"/>
    </row>
    <row r="753">
      <c r="G753" s="60"/>
      <c r="J753" s="61"/>
      <c r="K753" s="62"/>
      <c r="L753" s="62"/>
      <c r="M753" s="62"/>
    </row>
    <row r="754">
      <c r="G754" s="60"/>
      <c r="J754" s="61"/>
      <c r="K754" s="62"/>
      <c r="L754" s="62"/>
      <c r="M754" s="62"/>
    </row>
    <row r="755">
      <c r="G755" s="60"/>
      <c r="J755" s="61"/>
      <c r="K755" s="62"/>
      <c r="L755" s="62"/>
      <c r="M755" s="62"/>
    </row>
    <row r="756">
      <c r="G756" s="60"/>
      <c r="J756" s="61"/>
      <c r="K756" s="62"/>
      <c r="L756" s="62"/>
      <c r="M756" s="62"/>
    </row>
    <row r="757">
      <c r="G757" s="60"/>
      <c r="J757" s="61"/>
      <c r="K757" s="62"/>
      <c r="L757" s="62"/>
      <c r="M757" s="62"/>
    </row>
    <row r="758">
      <c r="G758" s="60"/>
      <c r="J758" s="61"/>
      <c r="K758" s="62"/>
      <c r="L758" s="62"/>
      <c r="M758" s="62"/>
    </row>
    <row r="759">
      <c r="G759" s="60"/>
      <c r="J759" s="61"/>
      <c r="K759" s="62"/>
      <c r="L759" s="62"/>
      <c r="M759" s="62"/>
    </row>
    <row r="760">
      <c r="G760" s="60"/>
      <c r="J760" s="61"/>
      <c r="K760" s="62"/>
      <c r="L760" s="62"/>
      <c r="M760" s="62"/>
    </row>
    <row r="761">
      <c r="G761" s="60"/>
      <c r="J761" s="61"/>
      <c r="K761" s="62"/>
      <c r="L761" s="62"/>
      <c r="M761" s="62"/>
    </row>
    <row r="762">
      <c r="G762" s="60"/>
      <c r="J762" s="61"/>
      <c r="K762" s="62"/>
      <c r="L762" s="62"/>
      <c r="M762" s="62"/>
    </row>
    <row r="763">
      <c r="G763" s="60"/>
      <c r="J763" s="61"/>
      <c r="K763" s="62"/>
      <c r="L763" s="62"/>
      <c r="M763" s="62"/>
    </row>
    <row r="764">
      <c r="G764" s="60"/>
      <c r="J764" s="61"/>
      <c r="K764" s="62"/>
      <c r="L764" s="62"/>
      <c r="M764" s="62"/>
    </row>
    <row r="765">
      <c r="G765" s="60"/>
      <c r="J765" s="61"/>
      <c r="K765" s="62"/>
      <c r="L765" s="62"/>
      <c r="M765" s="62"/>
    </row>
    <row r="766">
      <c r="G766" s="60"/>
      <c r="J766" s="61"/>
      <c r="K766" s="62"/>
      <c r="L766" s="62"/>
      <c r="M766" s="62"/>
    </row>
    <row r="767">
      <c r="G767" s="60"/>
      <c r="J767" s="61"/>
      <c r="K767" s="62"/>
      <c r="L767" s="62"/>
      <c r="M767" s="62"/>
    </row>
    <row r="768">
      <c r="G768" s="60"/>
      <c r="J768" s="61"/>
      <c r="K768" s="62"/>
      <c r="L768" s="62"/>
      <c r="M768" s="62"/>
    </row>
    <row r="769">
      <c r="G769" s="60"/>
      <c r="J769" s="61"/>
      <c r="K769" s="62"/>
      <c r="L769" s="62"/>
      <c r="M769" s="62"/>
    </row>
    <row r="770">
      <c r="G770" s="60"/>
      <c r="J770" s="61"/>
      <c r="K770" s="62"/>
      <c r="L770" s="62"/>
      <c r="M770" s="62"/>
    </row>
    <row r="771">
      <c r="G771" s="60"/>
      <c r="J771" s="61"/>
      <c r="K771" s="62"/>
      <c r="L771" s="62"/>
      <c r="M771" s="62"/>
    </row>
    <row r="772">
      <c r="G772" s="60"/>
      <c r="J772" s="61"/>
      <c r="K772" s="62"/>
      <c r="L772" s="62"/>
      <c r="M772" s="62"/>
    </row>
    <row r="773">
      <c r="G773" s="60"/>
      <c r="J773" s="61"/>
      <c r="K773" s="62"/>
      <c r="L773" s="62"/>
      <c r="M773" s="62"/>
    </row>
    <row r="774">
      <c r="G774" s="60"/>
      <c r="J774" s="61"/>
      <c r="K774" s="62"/>
      <c r="L774" s="62"/>
      <c r="M774" s="62"/>
    </row>
    <row r="775">
      <c r="G775" s="60"/>
      <c r="J775" s="61"/>
      <c r="K775" s="62"/>
      <c r="L775" s="62"/>
      <c r="M775" s="62"/>
    </row>
    <row r="776">
      <c r="G776" s="60"/>
      <c r="J776" s="61"/>
      <c r="K776" s="62"/>
      <c r="L776" s="62"/>
      <c r="M776" s="62"/>
    </row>
    <row r="777">
      <c r="G777" s="60"/>
      <c r="J777" s="61"/>
      <c r="K777" s="62"/>
      <c r="L777" s="62"/>
      <c r="M777" s="62"/>
    </row>
    <row r="778">
      <c r="G778" s="60"/>
      <c r="J778" s="61"/>
      <c r="K778" s="62"/>
      <c r="L778" s="62"/>
      <c r="M778" s="62"/>
    </row>
    <row r="779">
      <c r="G779" s="60"/>
      <c r="J779" s="61"/>
      <c r="K779" s="62"/>
      <c r="L779" s="62"/>
      <c r="M779" s="62"/>
    </row>
    <row r="780">
      <c r="G780" s="60"/>
      <c r="J780" s="61"/>
      <c r="K780" s="62"/>
      <c r="L780" s="62"/>
      <c r="M780" s="62"/>
    </row>
    <row r="781">
      <c r="G781" s="60"/>
      <c r="J781" s="61"/>
      <c r="K781" s="62"/>
      <c r="L781" s="62"/>
      <c r="M781" s="62"/>
    </row>
    <row r="782">
      <c r="G782" s="60"/>
      <c r="J782" s="61"/>
      <c r="K782" s="62"/>
      <c r="L782" s="62"/>
      <c r="M782" s="62"/>
    </row>
    <row r="783">
      <c r="G783" s="60"/>
      <c r="J783" s="61"/>
      <c r="K783" s="62"/>
      <c r="L783" s="62"/>
      <c r="M783" s="62"/>
    </row>
    <row r="784">
      <c r="G784" s="60"/>
      <c r="J784" s="61"/>
      <c r="K784" s="62"/>
      <c r="L784" s="62"/>
      <c r="M784" s="62"/>
    </row>
    <row r="785">
      <c r="G785" s="60"/>
      <c r="J785" s="61"/>
      <c r="K785" s="62"/>
      <c r="L785" s="62"/>
      <c r="M785" s="62"/>
    </row>
    <row r="786">
      <c r="G786" s="60"/>
      <c r="J786" s="61"/>
      <c r="K786" s="62"/>
      <c r="L786" s="62"/>
      <c r="M786" s="62"/>
    </row>
    <row r="787">
      <c r="G787" s="60"/>
      <c r="J787" s="61"/>
      <c r="K787" s="62"/>
      <c r="L787" s="62"/>
      <c r="M787" s="62"/>
    </row>
    <row r="788">
      <c r="G788" s="60"/>
      <c r="J788" s="61"/>
      <c r="K788" s="62"/>
      <c r="L788" s="62"/>
      <c r="M788" s="62"/>
    </row>
    <row r="789">
      <c r="G789" s="60"/>
      <c r="J789" s="61"/>
      <c r="K789" s="62"/>
      <c r="L789" s="62"/>
      <c r="M789" s="62"/>
    </row>
    <row r="790">
      <c r="G790" s="60"/>
      <c r="J790" s="61"/>
      <c r="K790" s="62"/>
      <c r="L790" s="62"/>
      <c r="M790" s="62"/>
    </row>
    <row r="791">
      <c r="G791" s="60"/>
      <c r="J791" s="61"/>
      <c r="K791" s="62"/>
      <c r="L791" s="62"/>
      <c r="M791" s="62"/>
    </row>
    <row r="792">
      <c r="G792" s="60"/>
      <c r="J792" s="61"/>
      <c r="K792" s="62"/>
      <c r="L792" s="62"/>
      <c r="M792" s="62"/>
    </row>
    <row r="793">
      <c r="G793" s="60"/>
      <c r="J793" s="61"/>
      <c r="K793" s="62"/>
      <c r="L793" s="62"/>
      <c r="M793" s="62"/>
    </row>
    <row r="794">
      <c r="G794" s="60"/>
      <c r="J794" s="61"/>
      <c r="K794" s="62"/>
      <c r="L794" s="62"/>
      <c r="M794" s="62"/>
    </row>
    <row r="795">
      <c r="G795" s="60"/>
      <c r="J795" s="61"/>
      <c r="K795" s="62"/>
      <c r="L795" s="62"/>
      <c r="M795" s="62"/>
    </row>
    <row r="796">
      <c r="G796" s="60"/>
      <c r="J796" s="61"/>
      <c r="K796" s="62"/>
      <c r="L796" s="62"/>
      <c r="M796" s="62"/>
    </row>
    <row r="797">
      <c r="G797" s="60"/>
      <c r="J797" s="61"/>
      <c r="K797" s="62"/>
      <c r="L797" s="62"/>
      <c r="M797" s="62"/>
    </row>
    <row r="798">
      <c r="G798" s="60"/>
      <c r="J798" s="61"/>
      <c r="K798" s="62"/>
      <c r="L798" s="62"/>
      <c r="M798" s="62"/>
    </row>
    <row r="799">
      <c r="G799" s="60"/>
      <c r="J799" s="61"/>
      <c r="K799" s="62"/>
      <c r="L799" s="62"/>
      <c r="M799" s="62"/>
    </row>
    <row r="800">
      <c r="G800" s="60"/>
      <c r="J800" s="61"/>
      <c r="K800" s="62"/>
      <c r="L800" s="62"/>
      <c r="M800" s="62"/>
    </row>
    <row r="801">
      <c r="G801" s="60"/>
      <c r="J801" s="61"/>
      <c r="K801" s="62"/>
      <c r="L801" s="62"/>
      <c r="M801" s="62"/>
    </row>
    <row r="802">
      <c r="G802" s="60"/>
      <c r="J802" s="61"/>
      <c r="K802" s="62"/>
      <c r="L802" s="62"/>
      <c r="M802" s="62"/>
    </row>
    <row r="803">
      <c r="G803" s="60"/>
      <c r="J803" s="61"/>
      <c r="K803" s="62"/>
      <c r="L803" s="62"/>
      <c r="M803" s="62"/>
    </row>
    <row r="804">
      <c r="G804" s="60"/>
      <c r="J804" s="61"/>
      <c r="K804" s="62"/>
      <c r="L804" s="62"/>
      <c r="M804" s="62"/>
    </row>
    <row r="805">
      <c r="G805" s="60"/>
      <c r="J805" s="61"/>
      <c r="K805" s="62"/>
      <c r="L805" s="62"/>
      <c r="M805" s="62"/>
    </row>
    <row r="806">
      <c r="G806" s="60"/>
      <c r="J806" s="61"/>
      <c r="K806" s="62"/>
      <c r="L806" s="62"/>
      <c r="M806" s="62"/>
    </row>
    <row r="807">
      <c r="G807" s="60"/>
      <c r="J807" s="61"/>
      <c r="K807" s="62"/>
      <c r="L807" s="62"/>
      <c r="M807" s="62"/>
    </row>
    <row r="808">
      <c r="G808" s="60"/>
      <c r="J808" s="61"/>
      <c r="K808" s="62"/>
      <c r="L808" s="62"/>
      <c r="M808" s="62"/>
    </row>
    <row r="809">
      <c r="G809" s="60"/>
      <c r="J809" s="61"/>
      <c r="K809" s="62"/>
      <c r="L809" s="62"/>
      <c r="M809" s="62"/>
    </row>
    <row r="810">
      <c r="G810" s="60"/>
      <c r="J810" s="61"/>
      <c r="K810" s="62"/>
      <c r="L810" s="62"/>
      <c r="M810" s="62"/>
    </row>
    <row r="811">
      <c r="G811" s="60"/>
      <c r="J811" s="61"/>
      <c r="K811" s="62"/>
      <c r="L811" s="62"/>
      <c r="M811" s="62"/>
    </row>
    <row r="812">
      <c r="G812" s="60"/>
      <c r="J812" s="61"/>
      <c r="K812" s="62"/>
      <c r="L812" s="62"/>
      <c r="M812" s="62"/>
    </row>
    <row r="813">
      <c r="G813" s="60"/>
      <c r="J813" s="61"/>
      <c r="K813" s="62"/>
      <c r="L813" s="62"/>
      <c r="M813" s="62"/>
    </row>
    <row r="814">
      <c r="G814" s="60"/>
      <c r="J814" s="61"/>
      <c r="K814" s="62"/>
      <c r="L814" s="62"/>
      <c r="M814" s="62"/>
    </row>
    <row r="815">
      <c r="G815" s="60"/>
      <c r="J815" s="61"/>
      <c r="K815" s="62"/>
      <c r="L815" s="62"/>
      <c r="M815" s="62"/>
    </row>
    <row r="816">
      <c r="G816" s="60"/>
      <c r="J816" s="61"/>
      <c r="K816" s="62"/>
      <c r="L816" s="62"/>
      <c r="M816" s="62"/>
    </row>
    <row r="817">
      <c r="G817" s="60"/>
      <c r="J817" s="61"/>
      <c r="K817" s="62"/>
      <c r="L817" s="62"/>
      <c r="M817" s="62"/>
    </row>
    <row r="818">
      <c r="G818" s="60"/>
      <c r="J818" s="61"/>
      <c r="K818" s="62"/>
      <c r="L818" s="62"/>
      <c r="M818" s="62"/>
    </row>
    <row r="819">
      <c r="G819" s="60"/>
      <c r="J819" s="61"/>
      <c r="K819" s="62"/>
      <c r="L819" s="62"/>
      <c r="M819" s="62"/>
    </row>
    <row r="820">
      <c r="G820" s="60"/>
      <c r="J820" s="61"/>
      <c r="K820" s="62"/>
      <c r="L820" s="62"/>
      <c r="M820" s="62"/>
    </row>
    <row r="821">
      <c r="G821" s="60"/>
      <c r="J821" s="61"/>
      <c r="K821" s="62"/>
      <c r="L821" s="62"/>
      <c r="M821" s="62"/>
    </row>
    <row r="822">
      <c r="G822" s="60"/>
      <c r="J822" s="61"/>
      <c r="K822" s="62"/>
      <c r="L822" s="62"/>
      <c r="M822" s="62"/>
    </row>
    <row r="823">
      <c r="G823" s="60"/>
      <c r="J823" s="61"/>
      <c r="K823" s="62"/>
      <c r="L823" s="62"/>
      <c r="M823" s="62"/>
    </row>
    <row r="824">
      <c r="G824" s="60"/>
      <c r="J824" s="61"/>
      <c r="K824" s="62"/>
      <c r="L824" s="62"/>
      <c r="M824" s="62"/>
    </row>
    <row r="825">
      <c r="G825" s="60"/>
      <c r="J825" s="61"/>
      <c r="K825" s="62"/>
      <c r="L825" s="62"/>
      <c r="M825" s="62"/>
    </row>
    <row r="826">
      <c r="G826" s="60"/>
      <c r="J826" s="61"/>
      <c r="K826" s="62"/>
      <c r="L826" s="62"/>
      <c r="M826" s="62"/>
    </row>
    <row r="827">
      <c r="G827" s="60"/>
      <c r="J827" s="61"/>
      <c r="K827" s="62"/>
      <c r="L827" s="62"/>
      <c r="M827" s="62"/>
    </row>
    <row r="828">
      <c r="G828" s="60"/>
      <c r="J828" s="61"/>
      <c r="K828" s="62"/>
      <c r="L828" s="62"/>
      <c r="M828" s="62"/>
    </row>
    <row r="829">
      <c r="G829" s="60"/>
      <c r="J829" s="61"/>
      <c r="K829" s="62"/>
      <c r="L829" s="62"/>
      <c r="M829" s="62"/>
    </row>
    <row r="830">
      <c r="G830" s="60"/>
      <c r="J830" s="61"/>
      <c r="K830" s="62"/>
      <c r="L830" s="62"/>
      <c r="M830" s="62"/>
    </row>
    <row r="831">
      <c r="G831" s="60"/>
      <c r="J831" s="61"/>
      <c r="K831" s="62"/>
      <c r="L831" s="62"/>
      <c r="M831" s="62"/>
    </row>
    <row r="832">
      <c r="G832" s="60"/>
      <c r="J832" s="61"/>
      <c r="K832" s="62"/>
      <c r="L832" s="62"/>
      <c r="M832" s="62"/>
    </row>
    <row r="833">
      <c r="G833" s="60"/>
      <c r="J833" s="61"/>
      <c r="K833" s="62"/>
      <c r="L833" s="62"/>
      <c r="M833" s="62"/>
    </row>
    <row r="834">
      <c r="G834" s="60"/>
      <c r="J834" s="61"/>
      <c r="K834" s="62"/>
      <c r="L834" s="62"/>
      <c r="M834" s="62"/>
    </row>
    <row r="835">
      <c r="G835" s="60"/>
      <c r="J835" s="61"/>
      <c r="K835" s="62"/>
      <c r="L835" s="62"/>
      <c r="M835" s="62"/>
    </row>
    <row r="836">
      <c r="G836" s="60"/>
      <c r="J836" s="61"/>
      <c r="K836" s="62"/>
      <c r="L836" s="62"/>
      <c r="M836" s="62"/>
    </row>
    <row r="837">
      <c r="G837" s="60"/>
      <c r="J837" s="61"/>
      <c r="K837" s="62"/>
      <c r="L837" s="62"/>
      <c r="M837" s="62"/>
    </row>
    <row r="838">
      <c r="G838" s="60"/>
      <c r="J838" s="61"/>
      <c r="K838" s="62"/>
      <c r="L838" s="62"/>
      <c r="M838" s="62"/>
    </row>
    <row r="839">
      <c r="G839" s="60"/>
      <c r="J839" s="61"/>
      <c r="K839" s="62"/>
      <c r="L839" s="62"/>
      <c r="M839" s="62"/>
    </row>
    <row r="840">
      <c r="G840" s="60"/>
      <c r="J840" s="61"/>
      <c r="K840" s="62"/>
      <c r="L840" s="62"/>
      <c r="M840" s="62"/>
    </row>
    <row r="841">
      <c r="G841" s="60"/>
      <c r="J841" s="61"/>
      <c r="K841" s="62"/>
      <c r="L841" s="62"/>
      <c r="M841" s="62"/>
    </row>
    <row r="842">
      <c r="G842" s="60"/>
      <c r="J842" s="61"/>
      <c r="K842" s="62"/>
      <c r="L842" s="62"/>
      <c r="M842" s="62"/>
    </row>
    <row r="843">
      <c r="G843" s="60"/>
      <c r="J843" s="61"/>
      <c r="K843" s="62"/>
      <c r="L843" s="62"/>
      <c r="M843" s="62"/>
    </row>
    <row r="844">
      <c r="G844" s="60"/>
      <c r="J844" s="61"/>
      <c r="K844" s="62"/>
      <c r="L844" s="62"/>
      <c r="M844" s="62"/>
    </row>
    <row r="845">
      <c r="G845" s="60"/>
      <c r="J845" s="61"/>
      <c r="K845" s="62"/>
      <c r="L845" s="62"/>
      <c r="M845" s="62"/>
    </row>
    <row r="846">
      <c r="G846" s="60"/>
      <c r="J846" s="61"/>
      <c r="K846" s="62"/>
      <c r="L846" s="62"/>
      <c r="M846" s="62"/>
    </row>
    <row r="847">
      <c r="G847" s="60"/>
      <c r="J847" s="61"/>
      <c r="K847" s="62"/>
      <c r="L847" s="62"/>
      <c r="M847" s="62"/>
    </row>
    <row r="848">
      <c r="G848" s="60"/>
      <c r="J848" s="61"/>
      <c r="K848" s="62"/>
      <c r="L848" s="62"/>
      <c r="M848" s="62"/>
    </row>
    <row r="849">
      <c r="G849" s="60"/>
      <c r="J849" s="61"/>
      <c r="K849" s="62"/>
      <c r="L849" s="62"/>
      <c r="M849" s="62"/>
    </row>
    <row r="850">
      <c r="G850" s="60"/>
      <c r="J850" s="61"/>
      <c r="K850" s="62"/>
      <c r="L850" s="62"/>
      <c r="M850" s="62"/>
    </row>
    <row r="851">
      <c r="G851" s="60"/>
      <c r="J851" s="61"/>
      <c r="K851" s="62"/>
      <c r="L851" s="62"/>
      <c r="M851" s="62"/>
    </row>
    <row r="852">
      <c r="G852" s="60"/>
      <c r="J852" s="61"/>
      <c r="K852" s="62"/>
      <c r="L852" s="62"/>
      <c r="M852" s="62"/>
    </row>
    <row r="853">
      <c r="G853" s="60"/>
      <c r="J853" s="61"/>
      <c r="K853" s="62"/>
      <c r="L853" s="62"/>
      <c r="M853" s="62"/>
    </row>
    <row r="854">
      <c r="G854" s="60"/>
      <c r="J854" s="61"/>
      <c r="K854" s="62"/>
      <c r="L854" s="62"/>
      <c r="M854" s="62"/>
    </row>
    <row r="855">
      <c r="G855" s="60"/>
      <c r="J855" s="61"/>
      <c r="K855" s="62"/>
      <c r="L855" s="62"/>
      <c r="M855" s="62"/>
    </row>
    <row r="856">
      <c r="G856" s="60"/>
      <c r="J856" s="61"/>
      <c r="K856" s="62"/>
      <c r="L856" s="62"/>
      <c r="M856" s="62"/>
    </row>
    <row r="857">
      <c r="G857" s="60"/>
      <c r="J857" s="61"/>
      <c r="K857" s="62"/>
      <c r="L857" s="62"/>
      <c r="M857" s="62"/>
    </row>
    <row r="858">
      <c r="G858" s="60"/>
      <c r="J858" s="61"/>
      <c r="K858" s="62"/>
      <c r="L858" s="62"/>
      <c r="M858" s="62"/>
    </row>
    <row r="859">
      <c r="G859" s="60"/>
      <c r="J859" s="61"/>
      <c r="K859" s="62"/>
      <c r="L859" s="62"/>
      <c r="M859" s="62"/>
    </row>
    <row r="860">
      <c r="G860" s="60"/>
      <c r="J860" s="61"/>
      <c r="K860" s="62"/>
      <c r="L860" s="62"/>
      <c r="M860" s="62"/>
    </row>
    <row r="861">
      <c r="G861" s="60"/>
      <c r="J861" s="61"/>
      <c r="K861" s="62"/>
      <c r="L861" s="62"/>
      <c r="M861" s="62"/>
    </row>
    <row r="862">
      <c r="G862" s="60"/>
      <c r="J862" s="61"/>
      <c r="K862" s="62"/>
      <c r="L862" s="62"/>
      <c r="M862" s="62"/>
    </row>
    <row r="863">
      <c r="G863" s="60"/>
      <c r="J863" s="61"/>
      <c r="K863" s="62"/>
      <c r="L863" s="62"/>
      <c r="M863" s="62"/>
    </row>
    <row r="864">
      <c r="G864" s="60"/>
      <c r="J864" s="61"/>
      <c r="K864" s="62"/>
      <c r="L864" s="62"/>
      <c r="M864" s="62"/>
    </row>
    <row r="865">
      <c r="G865" s="60"/>
      <c r="J865" s="61"/>
      <c r="K865" s="62"/>
      <c r="L865" s="62"/>
      <c r="M865" s="62"/>
    </row>
    <row r="866">
      <c r="G866" s="60"/>
      <c r="J866" s="61"/>
      <c r="K866" s="62"/>
      <c r="L866" s="62"/>
      <c r="M866" s="62"/>
    </row>
    <row r="867">
      <c r="G867" s="60"/>
      <c r="J867" s="61"/>
      <c r="K867" s="62"/>
      <c r="L867" s="62"/>
      <c r="M867" s="62"/>
    </row>
    <row r="868">
      <c r="G868" s="60"/>
      <c r="J868" s="61"/>
      <c r="K868" s="62"/>
      <c r="L868" s="62"/>
      <c r="M868" s="62"/>
    </row>
    <row r="869">
      <c r="G869" s="60"/>
      <c r="J869" s="61"/>
      <c r="K869" s="62"/>
      <c r="L869" s="62"/>
      <c r="M869" s="62"/>
    </row>
    <row r="870">
      <c r="G870" s="60"/>
      <c r="J870" s="61"/>
      <c r="K870" s="62"/>
      <c r="L870" s="62"/>
      <c r="M870" s="62"/>
    </row>
    <row r="871">
      <c r="G871" s="60"/>
      <c r="J871" s="61"/>
      <c r="K871" s="62"/>
      <c r="L871" s="62"/>
      <c r="M871" s="62"/>
    </row>
    <row r="872">
      <c r="G872" s="60"/>
      <c r="J872" s="61"/>
      <c r="K872" s="62"/>
      <c r="L872" s="62"/>
      <c r="M872" s="62"/>
    </row>
    <row r="873">
      <c r="G873" s="60"/>
      <c r="J873" s="61"/>
      <c r="K873" s="62"/>
      <c r="L873" s="62"/>
      <c r="M873" s="62"/>
    </row>
    <row r="874">
      <c r="G874" s="60"/>
      <c r="J874" s="61"/>
      <c r="K874" s="62"/>
      <c r="L874" s="62"/>
      <c r="M874" s="62"/>
    </row>
    <row r="875">
      <c r="G875" s="60"/>
      <c r="J875" s="61"/>
      <c r="K875" s="62"/>
      <c r="L875" s="62"/>
      <c r="M875" s="62"/>
    </row>
    <row r="876">
      <c r="G876" s="60"/>
      <c r="J876" s="61"/>
      <c r="K876" s="62"/>
      <c r="L876" s="62"/>
      <c r="M876" s="62"/>
    </row>
    <row r="877">
      <c r="G877" s="60"/>
      <c r="J877" s="61"/>
      <c r="K877" s="62"/>
      <c r="L877" s="62"/>
      <c r="M877" s="62"/>
    </row>
    <row r="878">
      <c r="G878" s="60"/>
      <c r="J878" s="61"/>
      <c r="K878" s="62"/>
      <c r="L878" s="62"/>
      <c r="M878" s="62"/>
    </row>
    <row r="879">
      <c r="G879" s="60"/>
      <c r="J879" s="61"/>
      <c r="K879" s="62"/>
      <c r="L879" s="62"/>
      <c r="M879" s="62"/>
    </row>
    <row r="880">
      <c r="G880" s="60"/>
      <c r="J880" s="61"/>
      <c r="K880" s="62"/>
      <c r="L880" s="62"/>
      <c r="M880" s="62"/>
    </row>
    <row r="881">
      <c r="G881" s="60"/>
      <c r="J881" s="61"/>
      <c r="K881" s="62"/>
      <c r="L881" s="62"/>
      <c r="M881" s="62"/>
    </row>
    <row r="882">
      <c r="G882" s="60"/>
      <c r="J882" s="61"/>
      <c r="K882" s="62"/>
      <c r="L882" s="62"/>
      <c r="M882" s="62"/>
    </row>
    <row r="883">
      <c r="G883" s="60"/>
      <c r="J883" s="61"/>
      <c r="K883" s="62"/>
      <c r="L883" s="62"/>
      <c r="M883" s="62"/>
    </row>
    <row r="884">
      <c r="G884" s="60"/>
      <c r="J884" s="61"/>
      <c r="K884" s="62"/>
      <c r="L884" s="62"/>
      <c r="M884" s="62"/>
    </row>
    <row r="885">
      <c r="G885" s="60"/>
      <c r="J885" s="61"/>
      <c r="K885" s="62"/>
      <c r="L885" s="62"/>
      <c r="M885" s="62"/>
    </row>
    <row r="886">
      <c r="G886" s="60"/>
      <c r="J886" s="61"/>
      <c r="K886" s="62"/>
      <c r="L886" s="62"/>
      <c r="M886" s="62"/>
    </row>
    <row r="887">
      <c r="G887" s="60"/>
      <c r="J887" s="61"/>
      <c r="K887" s="62"/>
      <c r="L887" s="62"/>
      <c r="M887" s="62"/>
    </row>
    <row r="888">
      <c r="G888" s="60"/>
      <c r="J888" s="61"/>
      <c r="K888" s="62"/>
      <c r="L888" s="62"/>
      <c r="M888" s="62"/>
    </row>
    <row r="889">
      <c r="G889" s="60"/>
      <c r="J889" s="61"/>
      <c r="K889" s="62"/>
      <c r="L889" s="62"/>
      <c r="M889" s="62"/>
    </row>
    <row r="890">
      <c r="G890" s="60"/>
      <c r="J890" s="61"/>
      <c r="K890" s="62"/>
      <c r="L890" s="62"/>
      <c r="M890" s="62"/>
    </row>
    <row r="891">
      <c r="G891" s="60"/>
      <c r="J891" s="61"/>
      <c r="K891" s="62"/>
      <c r="L891" s="62"/>
      <c r="M891" s="62"/>
    </row>
    <row r="892">
      <c r="G892" s="60"/>
      <c r="J892" s="61"/>
      <c r="K892" s="62"/>
      <c r="L892" s="62"/>
      <c r="M892" s="62"/>
    </row>
    <row r="893">
      <c r="G893" s="60"/>
      <c r="J893" s="61"/>
      <c r="K893" s="62"/>
      <c r="L893" s="62"/>
      <c r="M893" s="62"/>
    </row>
    <row r="894">
      <c r="G894" s="60"/>
      <c r="J894" s="61"/>
      <c r="K894" s="62"/>
      <c r="L894" s="62"/>
      <c r="M894" s="62"/>
    </row>
    <row r="895">
      <c r="G895" s="60"/>
      <c r="J895" s="61"/>
      <c r="K895" s="62"/>
      <c r="L895" s="62"/>
      <c r="M895" s="62"/>
    </row>
    <row r="896">
      <c r="G896" s="60"/>
      <c r="J896" s="61"/>
      <c r="K896" s="62"/>
      <c r="L896" s="62"/>
      <c r="M896" s="62"/>
    </row>
    <row r="897">
      <c r="G897" s="60"/>
      <c r="J897" s="61"/>
      <c r="K897" s="62"/>
      <c r="L897" s="62"/>
      <c r="M897" s="62"/>
    </row>
    <row r="898">
      <c r="G898" s="60"/>
      <c r="J898" s="61"/>
      <c r="K898" s="62"/>
      <c r="L898" s="62"/>
      <c r="M898" s="62"/>
    </row>
    <row r="899">
      <c r="G899" s="60"/>
      <c r="J899" s="61"/>
      <c r="K899" s="62"/>
      <c r="L899" s="62"/>
      <c r="M899" s="62"/>
    </row>
    <row r="900">
      <c r="G900" s="60"/>
      <c r="J900" s="61"/>
      <c r="K900" s="62"/>
      <c r="L900" s="62"/>
      <c r="M900" s="62"/>
    </row>
    <row r="901">
      <c r="G901" s="60"/>
      <c r="J901" s="61"/>
      <c r="K901" s="62"/>
      <c r="L901" s="62"/>
      <c r="M901" s="62"/>
    </row>
    <row r="902">
      <c r="G902" s="60"/>
      <c r="J902" s="61"/>
      <c r="K902" s="62"/>
      <c r="L902" s="62"/>
      <c r="M902" s="62"/>
    </row>
    <row r="903">
      <c r="G903" s="60"/>
      <c r="J903" s="61"/>
      <c r="K903" s="62"/>
      <c r="L903" s="62"/>
      <c r="M903" s="62"/>
    </row>
    <row r="904">
      <c r="G904" s="60"/>
      <c r="J904" s="61"/>
      <c r="K904" s="62"/>
      <c r="L904" s="62"/>
      <c r="M904" s="62"/>
    </row>
    <row r="905">
      <c r="G905" s="60"/>
      <c r="J905" s="61"/>
      <c r="K905" s="62"/>
      <c r="L905" s="62"/>
      <c r="M905" s="62"/>
    </row>
    <row r="906">
      <c r="G906" s="60"/>
      <c r="J906" s="61"/>
      <c r="K906" s="62"/>
      <c r="L906" s="62"/>
      <c r="M906" s="62"/>
    </row>
    <row r="907">
      <c r="G907" s="60"/>
      <c r="J907" s="61"/>
      <c r="K907" s="62"/>
      <c r="L907" s="62"/>
      <c r="M907" s="62"/>
    </row>
    <row r="908">
      <c r="G908" s="60"/>
      <c r="J908" s="61"/>
      <c r="K908" s="62"/>
      <c r="L908" s="62"/>
      <c r="M908" s="62"/>
    </row>
    <row r="909">
      <c r="G909" s="60"/>
      <c r="J909" s="61"/>
      <c r="K909" s="62"/>
      <c r="L909" s="62"/>
      <c r="M909" s="62"/>
    </row>
    <row r="910">
      <c r="G910" s="60"/>
      <c r="J910" s="61"/>
      <c r="K910" s="62"/>
      <c r="L910" s="62"/>
      <c r="M910" s="62"/>
    </row>
    <row r="911">
      <c r="G911" s="60"/>
      <c r="J911" s="61"/>
      <c r="K911" s="62"/>
      <c r="L911" s="62"/>
      <c r="M911" s="62"/>
    </row>
    <row r="912">
      <c r="G912" s="60"/>
      <c r="J912" s="61"/>
      <c r="K912" s="62"/>
      <c r="L912" s="62"/>
      <c r="M912" s="62"/>
    </row>
    <row r="913">
      <c r="G913" s="60"/>
      <c r="J913" s="61"/>
      <c r="K913" s="62"/>
      <c r="L913" s="62"/>
      <c r="M913" s="62"/>
    </row>
    <row r="914">
      <c r="G914" s="60"/>
      <c r="J914" s="61"/>
      <c r="K914" s="62"/>
      <c r="L914" s="62"/>
      <c r="M914" s="62"/>
    </row>
    <row r="915">
      <c r="G915" s="60"/>
      <c r="J915" s="61"/>
      <c r="K915" s="62"/>
      <c r="L915" s="62"/>
      <c r="M915" s="62"/>
    </row>
    <row r="916">
      <c r="G916" s="60"/>
      <c r="J916" s="61"/>
      <c r="K916" s="62"/>
      <c r="L916" s="62"/>
      <c r="M916" s="62"/>
    </row>
    <row r="917">
      <c r="G917" s="60"/>
      <c r="J917" s="61"/>
      <c r="K917" s="62"/>
      <c r="L917" s="62"/>
      <c r="M917" s="62"/>
    </row>
    <row r="918">
      <c r="G918" s="60"/>
      <c r="J918" s="61"/>
      <c r="K918" s="62"/>
      <c r="L918" s="62"/>
      <c r="M918" s="62"/>
    </row>
    <row r="919">
      <c r="G919" s="60"/>
      <c r="J919" s="61"/>
      <c r="K919" s="62"/>
      <c r="L919" s="62"/>
      <c r="M919" s="62"/>
    </row>
    <row r="920">
      <c r="G920" s="60"/>
      <c r="J920" s="61"/>
      <c r="K920" s="62"/>
      <c r="L920" s="62"/>
      <c r="M920" s="62"/>
    </row>
    <row r="921">
      <c r="G921" s="60"/>
      <c r="J921" s="61"/>
      <c r="K921" s="62"/>
      <c r="L921" s="62"/>
      <c r="M921" s="62"/>
    </row>
    <row r="922">
      <c r="G922" s="60"/>
      <c r="J922" s="61"/>
      <c r="K922" s="62"/>
      <c r="L922" s="62"/>
      <c r="M922" s="62"/>
    </row>
    <row r="923">
      <c r="G923" s="60"/>
      <c r="J923" s="61"/>
      <c r="K923" s="62"/>
      <c r="L923" s="62"/>
      <c r="M923" s="62"/>
    </row>
    <row r="924">
      <c r="G924" s="60"/>
      <c r="J924" s="61"/>
      <c r="K924" s="62"/>
      <c r="L924" s="62"/>
      <c r="M924" s="62"/>
    </row>
    <row r="925">
      <c r="G925" s="60"/>
      <c r="J925" s="61"/>
      <c r="K925" s="62"/>
      <c r="L925" s="62"/>
      <c r="M925" s="62"/>
    </row>
    <row r="926">
      <c r="G926" s="60"/>
      <c r="J926" s="61"/>
      <c r="K926" s="62"/>
      <c r="L926" s="62"/>
      <c r="M926" s="62"/>
    </row>
    <row r="927">
      <c r="G927" s="60"/>
      <c r="J927" s="61"/>
      <c r="K927" s="62"/>
      <c r="L927" s="62"/>
      <c r="M927" s="62"/>
    </row>
    <row r="928">
      <c r="G928" s="60"/>
      <c r="J928" s="61"/>
      <c r="K928" s="62"/>
      <c r="L928" s="62"/>
      <c r="M928" s="62"/>
    </row>
    <row r="929">
      <c r="G929" s="60"/>
      <c r="J929" s="61"/>
      <c r="K929" s="62"/>
      <c r="L929" s="62"/>
      <c r="M929" s="62"/>
    </row>
    <row r="930">
      <c r="G930" s="60"/>
      <c r="J930" s="61"/>
      <c r="K930" s="62"/>
      <c r="L930" s="62"/>
      <c r="M930" s="62"/>
    </row>
    <row r="931">
      <c r="G931" s="60"/>
      <c r="J931" s="61"/>
      <c r="K931" s="62"/>
      <c r="L931" s="62"/>
      <c r="M931" s="62"/>
    </row>
    <row r="932">
      <c r="G932" s="60"/>
      <c r="J932" s="61"/>
      <c r="K932" s="62"/>
      <c r="L932" s="62"/>
      <c r="M932" s="62"/>
    </row>
    <row r="933">
      <c r="G933" s="60"/>
      <c r="J933" s="61"/>
      <c r="K933" s="62"/>
      <c r="L933" s="62"/>
      <c r="M933" s="62"/>
    </row>
    <row r="934">
      <c r="G934" s="60"/>
      <c r="J934" s="61"/>
      <c r="K934" s="62"/>
      <c r="L934" s="62"/>
      <c r="M934" s="62"/>
    </row>
    <row r="935">
      <c r="G935" s="60"/>
      <c r="J935" s="61"/>
      <c r="K935" s="62"/>
      <c r="L935" s="62"/>
      <c r="M935" s="62"/>
    </row>
    <row r="936">
      <c r="G936" s="60"/>
      <c r="J936" s="61"/>
      <c r="K936" s="62"/>
      <c r="L936" s="62"/>
      <c r="M936" s="62"/>
    </row>
    <row r="937">
      <c r="G937" s="60"/>
      <c r="J937" s="61"/>
      <c r="K937" s="62"/>
      <c r="L937" s="62"/>
      <c r="M937" s="62"/>
    </row>
    <row r="938">
      <c r="G938" s="60"/>
      <c r="J938" s="61"/>
      <c r="K938" s="62"/>
      <c r="L938" s="62"/>
      <c r="M938" s="62"/>
    </row>
    <row r="939">
      <c r="G939" s="60"/>
      <c r="J939" s="61"/>
      <c r="K939" s="62"/>
      <c r="L939" s="62"/>
      <c r="M939" s="62"/>
    </row>
    <row r="940">
      <c r="G940" s="60"/>
      <c r="J940" s="61"/>
      <c r="K940" s="62"/>
      <c r="L940" s="62"/>
      <c r="M940" s="62"/>
    </row>
    <row r="941">
      <c r="G941" s="60"/>
      <c r="J941" s="61"/>
      <c r="K941" s="62"/>
      <c r="L941" s="62"/>
      <c r="M941" s="62"/>
    </row>
    <row r="942">
      <c r="G942" s="60"/>
      <c r="J942" s="61"/>
      <c r="K942" s="62"/>
      <c r="L942" s="62"/>
      <c r="M942" s="62"/>
    </row>
    <row r="943">
      <c r="G943" s="60"/>
      <c r="J943" s="61"/>
      <c r="K943" s="62"/>
      <c r="L943" s="62"/>
      <c r="M943" s="62"/>
    </row>
    <row r="944">
      <c r="G944" s="60"/>
      <c r="J944" s="61"/>
      <c r="K944" s="62"/>
      <c r="L944" s="62"/>
      <c r="M944" s="62"/>
    </row>
    <row r="945">
      <c r="G945" s="60"/>
      <c r="J945" s="61"/>
      <c r="K945" s="62"/>
      <c r="L945" s="62"/>
      <c r="M945" s="62"/>
    </row>
    <row r="946">
      <c r="G946" s="60"/>
      <c r="J946" s="61"/>
      <c r="K946" s="62"/>
      <c r="L946" s="62"/>
      <c r="M946" s="62"/>
    </row>
    <row r="947">
      <c r="G947" s="60"/>
      <c r="J947" s="61"/>
      <c r="K947" s="62"/>
      <c r="L947" s="62"/>
      <c r="M947" s="62"/>
    </row>
    <row r="948">
      <c r="G948" s="60"/>
      <c r="J948" s="61"/>
      <c r="K948" s="62"/>
      <c r="L948" s="62"/>
      <c r="M948" s="62"/>
    </row>
    <row r="949">
      <c r="G949" s="60"/>
      <c r="J949" s="61"/>
      <c r="K949" s="62"/>
      <c r="L949" s="62"/>
      <c r="M949" s="62"/>
    </row>
    <row r="950">
      <c r="G950" s="60"/>
      <c r="J950" s="61"/>
      <c r="K950" s="62"/>
      <c r="L950" s="62"/>
      <c r="M950" s="62"/>
    </row>
    <row r="951">
      <c r="G951" s="60"/>
      <c r="J951" s="61"/>
      <c r="K951" s="62"/>
      <c r="L951" s="62"/>
      <c r="M951" s="62"/>
    </row>
    <row r="952">
      <c r="G952" s="60"/>
      <c r="J952" s="61"/>
      <c r="K952" s="62"/>
      <c r="L952" s="62"/>
      <c r="M952" s="62"/>
    </row>
    <row r="953">
      <c r="G953" s="60"/>
      <c r="J953" s="61"/>
      <c r="K953" s="62"/>
      <c r="L953" s="62"/>
      <c r="M953" s="62"/>
    </row>
    <row r="954">
      <c r="G954" s="60"/>
      <c r="J954" s="61"/>
      <c r="K954" s="62"/>
      <c r="L954" s="62"/>
      <c r="M954" s="62"/>
    </row>
    <row r="955">
      <c r="G955" s="60"/>
      <c r="J955" s="61"/>
      <c r="K955" s="62"/>
      <c r="L955" s="62"/>
      <c r="M955" s="62"/>
    </row>
    <row r="956">
      <c r="G956" s="60"/>
      <c r="J956" s="61"/>
      <c r="K956" s="62"/>
      <c r="L956" s="62"/>
      <c r="M956" s="62"/>
    </row>
    <row r="957">
      <c r="G957" s="60"/>
      <c r="J957" s="61"/>
      <c r="K957" s="62"/>
      <c r="L957" s="62"/>
      <c r="M957" s="62"/>
    </row>
    <row r="958">
      <c r="G958" s="60"/>
      <c r="J958" s="61"/>
      <c r="K958" s="62"/>
      <c r="L958" s="62"/>
      <c r="M958" s="62"/>
    </row>
    <row r="959">
      <c r="G959" s="60"/>
      <c r="J959" s="61"/>
      <c r="K959" s="62"/>
      <c r="L959" s="62"/>
      <c r="M959" s="62"/>
    </row>
    <row r="960">
      <c r="G960" s="60"/>
      <c r="J960" s="61"/>
      <c r="K960" s="62"/>
      <c r="L960" s="62"/>
      <c r="M960" s="62"/>
    </row>
    <row r="961">
      <c r="G961" s="60"/>
      <c r="J961" s="61"/>
      <c r="K961" s="62"/>
      <c r="L961" s="62"/>
      <c r="M961" s="62"/>
    </row>
    <row r="962">
      <c r="G962" s="60"/>
      <c r="J962" s="61"/>
      <c r="K962" s="62"/>
      <c r="L962" s="62"/>
      <c r="M962" s="62"/>
    </row>
    <row r="963">
      <c r="G963" s="60"/>
      <c r="J963" s="61"/>
      <c r="K963" s="62"/>
      <c r="L963" s="62"/>
      <c r="M963" s="62"/>
    </row>
    <row r="964">
      <c r="G964" s="60"/>
      <c r="J964" s="61"/>
      <c r="K964" s="62"/>
      <c r="L964" s="62"/>
      <c r="M964" s="62"/>
    </row>
    <row r="965">
      <c r="G965" s="60"/>
      <c r="J965" s="61"/>
      <c r="K965" s="62"/>
      <c r="L965" s="62"/>
      <c r="M965" s="62"/>
    </row>
    <row r="966">
      <c r="G966" s="60"/>
      <c r="J966" s="61"/>
      <c r="K966" s="62"/>
      <c r="L966" s="62"/>
      <c r="M966" s="62"/>
    </row>
    <row r="967">
      <c r="G967" s="60"/>
      <c r="J967" s="61"/>
      <c r="K967" s="62"/>
      <c r="L967" s="62"/>
      <c r="M967" s="62"/>
    </row>
    <row r="968">
      <c r="G968" s="60"/>
      <c r="J968" s="61"/>
      <c r="K968" s="62"/>
      <c r="L968" s="62"/>
      <c r="M968" s="62"/>
    </row>
    <row r="969">
      <c r="G969" s="60"/>
      <c r="J969" s="61"/>
      <c r="K969" s="62"/>
      <c r="L969" s="62"/>
      <c r="M969" s="62"/>
    </row>
    <row r="970">
      <c r="G970" s="60"/>
      <c r="J970" s="61"/>
      <c r="K970" s="62"/>
      <c r="L970" s="62"/>
      <c r="M970" s="62"/>
    </row>
    <row r="971">
      <c r="G971" s="60"/>
      <c r="J971" s="61"/>
      <c r="K971" s="62"/>
      <c r="L971" s="62"/>
      <c r="M971" s="62"/>
    </row>
    <row r="972">
      <c r="G972" s="60"/>
      <c r="J972" s="61"/>
      <c r="K972" s="62"/>
      <c r="L972" s="62"/>
      <c r="M972" s="62"/>
    </row>
    <row r="973">
      <c r="G973" s="60"/>
      <c r="J973" s="61"/>
      <c r="K973" s="62"/>
      <c r="L973" s="62"/>
      <c r="M973" s="62"/>
    </row>
    <row r="974">
      <c r="G974" s="60"/>
      <c r="J974" s="61"/>
      <c r="K974" s="62"/>
      <c r="L974" s="62"/>
      <c r="M974" s="62"/>
    </row>
    <row r="975">
      <c r="G975" s="60"/>
      <c r="J975" s="61"/>
      <c r="K975" s="62"/>
      <c r="L975" s="62"/>
      <c r="M975" s="62"/>
    </row>
    <row r="976">
      <c r="G976" s="60"/>
      <c r="J976" s="61"/>
      <c r="K976" s="62"/>
      <c r="L976" s="62"/>
      <c r="M976" s="62"/>
    </row>
    <row r="977">
      <c r="G977" s="60"/>
      <c r="J977" s="61"/>
      <c r="K977" s="62"/>
      <c r="L977" s="62"/>
      <c r="M977" s="62"/>
    </row>
    <row r="978">
      <c r="G978" s="60"/>
      <c r="J978" s="61"/>
      <c r="K978" s="62"/>
      <c r="L978" s="62"/>
      <c r="M978" s="62"/>
    </row>
    <row r="979">
      <c r="G979" s="60"/>
      <c r="J979" s="61"/>
      <c r="K979" s="62"/>
      <c r="L979" s="62"/>
      <c r="M979" s="62"/>
    </row>
    <row r="980">
      <c r="G980" s="60"/>
      <c r="J980" s="61"/>
      <c r="K980" s="62"/>
      <c r="L980" s="62"/>
      <c r="M980" s="62"/>
    </row>
    <row r="981">
      <c r="G981" s="60"/>
      <c r="J981" s="61"/>
      <c r="K981" s="62"/>
      <c r="L981" s="62"/>
      <c r="M981" s="62"/>
    </row>
    <row r="982">
      <c r="G982" s="60"/>
      <c r="J982" s="61"/>
      <c r="K982" s="62"/>
      <c r="L982" s="62"/>
      <c r="M982" s="62"/>
    </row>
    <row r="983">
      <c r="G983" s="60"/>
      <c r="J983" s="61"/>
      <c r="K983" s="62"/>
      <c r="L983" s="62"/>
      <c r="M983" s="62"/>
    </row>
  </sheetData>
  <autoFilter ref="$A$1:$M$133"/>
  <customSheetViews>
    <customSheetView guid="{BBCB955D-BAEA-4399-8BC6-E4063638745A}" filter="1" showAutoFilter="1">
      <autoFilter ref="$A$1:$M$133"/>
    </customSheetView>
  </customSheetViews>
  <conditionalFormatting sqref="A2:M133">
    <cfRule type="cellIs" dxfId="0" priority="1" operator="equal">
      <formula>"Declined"</formula>
    </cfRule>
  </conditionalFormatting>
  <conditionalFormatting sqref="A2:M133">
    <cfRule type="cellIs" dxfId="1" priority="2" operator="equal">
      <formula>"Published"</formula>
    </cfRule>
  </conditionalFormatting>
  <conditionalFormatting sqref="A2:M133">
    <cfRule type="cellIs" dxfId="2" priority="3" operator="equal">
      <formula>"Review"</formula>
    </cfRule>
  </conditionalFormatting>
  <conditionalFormatting sqref="A2:M133">
    <cfRule type="cellIs" dxfId="3" priority="4" operator="equal">
      <formula>"Accepted"</formula>
    </cfRule>
  </conditionalFormatting>
  <conditionalFormatting sqref="A2:M983">
    <cfRule type="cellIs" dxfId="4" priority="5" operator="equal">
      <formula>"Pre-review"</formula>
    </cfRule>
  </conditionalFormatting>
  <conditionalFormatting sqref="A2:M133">
    <cfRule type="cellIs" dxfId="0" priority="6" operator="equal">
      <formula>"Declined"</formula>
    </cfRule>
  </conditionalFormatting>
  <dataValidations>
    <dataValidation type="list" allowBlank="1" sqref="J2:J97 J98:K98 J99:J983">
      <formula1>"Pre-review,Review,Declined,Accepted,Published"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5.5"/>
    <col customWidth="1" min="2" max="2" width="18.63"/>
    <col customWidth="1" min="3" max="3" width="16.25"/>
    <col customWidth="1" min="6" max="6" width="14.25"/>
    <col customWidth="1" min="8" max="8" width="7.13"/>
    <col customWidth="1" min="9" max="9" width="7.63"/>
    <col customWidth="1" min="10" max="10" width="9.5"/>
    <col customWidth="1" min="11" max="11" width="18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93"/>
      <c r="O1" s="93"/>
      <c r="P1" s="93"/>
      <c r="Q1" s="93"/>
      <c r="R1" s="94"/>
      <c r="S1" s="93"/>
      <c r="T1" s="95"/>
      <c r="U1" s="96"/>
      <c r="V1" s="96"/>
      <c r="W1" s="96"/>
      <c r="X1" s="96"/>
      <c r="Y1" s="96"/>
      <c r="Z1" s="96"/>
    </row>
    <row r="2">
      <c r="A2" s="5">
        <f>IFERROR(__xludf.DUMMYFUNCTION("FILTER(Backup!A:A,(Backup!$J:$J = ""Pre-Review"") + (Backup!$J:$J = ""Review""))"),577.0)</f>
        <v>577</v>
      </c>
      <c r="B2" s="5" t="str">
        <f>IFERROR(__xludf.DUMMYFUNCTION("FILTER(Backup!B:B,(Backup!$J:$J = ""Pre-Review"") + (Backup!$J:$J = ""Review""))"),"[Anonymized]")</f>
        <v>[Anonymized]</v>
      </c>
      <c r="C2" s="5" t="str">
        <f>IFERROR(__xludf.DUMMYFUNCTION("FILTER(Backup!C:C,(Backup!$J:$J = ""Pre-Review"") + (Backup!$J:$J = ""Review""))"),"[Anonymized]")</f>
        <v>[Anonymized]</v>
      </c>
      <c r="D2" s="5" t="str">
        <f>IFERROR(__xludf.DUMMYFUNCTION("FILTER(Backup!D:D,(Backup!$J:$J = ""Pre-Review"") + (Backup!$J:$J = ""Review""))"),"Research Article")</f>
        <v>Research Article</v>
      </c>
      <c r="E2" s="5" t="str">
        <f>IFERROR(__xludf.DUMMYFUNCTION("FILTER(Backup!E:E,(Backup!$J:$J = ""Pre-Review"") + (Backup!$J:$J = ""Review""))"),"")</f>
        <v/>
      </c>
      <c r="F2" s="5" t="str">
        <f>IFERROR(__xludf.DUMMYFUNCTION("FILTER(Backup!F:F,(Backup!$J:$J = ""Pre-Review"") + (Backup!$J:$J = ""Review""))"),"")</f>
        <v/>
      </c>
      <c r="G2" s="97">
        <f>IFERROR(__xludf.DUMMYFUNCTION("FILTER(Backup!G:G,(Backup!$J:$J = ""Pre-Review"") + (Backup!$J:$J = ""Review""))"),44047.0)</f>
        <v>44047</v>
      </c>
      <c r="H2" s="5" t="str">
        <f>IFERROR(__xludf.DUMMYFUNCTION("FILTER(Backup!H:H,(Backup!$J:$J = ""Pre-Review"") + (Backup!$J:$J = ""Review""))"),"[Anonymized]")</f>
        <v>[Anonymized]</v>
      </c>
      <c r="I2" s="5" t="str">
        <f>IFERROR(__xludf.DUMMYFUNCTION("FILTER(Backup!I:I,(Backup!$J:$J = ""Pre-Review"") + (Backup!$J:$J = ""Review""))"),"[Anonymized]")</f>
        <v>[Anonymized]</v>
      </c>
      <c r="J2" s="5" t="str">
        <f>IFERROR(__xludf.DUMMYFUNCTION("FILTER(Backup!J:J,(Backup!$J:$J = ""Pre-Review"") + (Backup!$J:$J = ""Review""))"),"Review")</f>
        <v>Review</v>
      </c>
      <c r="K2" s="5" t="str">
        <f>IFERROR(__xludf.DUMMYFUNCTION("FILTER(Backup!K:K,(Backup!$J:$J = ""Pre-Review"") + (Backup!$J:$J = ""Review""))"),"Revise and Resubmit")</f>
        <v>Revise and Resubmit</v>
      </c>
      <c r="L2" s="5" t="str">
        <f>IFERROR(__xludf.DUMMYFUNCTION("FILTER(Backup!L:L,(Backup!$J:$J = ""Pre-Review"") + (Backup!$J:$J = ""Review""))"),"")</f>
        <v/>
      </c>
      <c r="M2" s="5" t="str">
        <f>IFERROR(__xludf.DUMMYFUNCTION("FILTER(Backup!M:M,(Backup!$J:$J = ""Pre-Review"") + (Backup!$J:$J = ""Review""))"),"")</f>
        <v/>
      </c>
    </row>
    <row r="3">
      <c r="A3" s="5">
        <f>IFERROR(__xludf.DUMMYFUNCTION("""COMPUTED_VALUE"""),627.0)</f>
        <v>627</v>
      </c>
      <c r="B3" s="5" t="str">
        <f>IFERROR(__xludf.DUMMYFUNCTION("""COMPUTED_VALUE"""),"[Anonymized]")</f>
        <v>[Anonymized]</v>
      </c>
      <c r="C3" s="5" t="str">
        <f>IFERROR(__xludf.DUMMYFUNCTION("""COMPUTED_VALUE"""),"[Anonymized]")</f>
        <v>[Anonymized]</v>
      </c>
      <c r="D3" s="5" t="str">
        <f>IFERROR(__xludf.DUMMYFUNCTION("""COMPUTED_VALUE"""),"Research Article")</f>
        <v>Research Article</v>
      </c>
      <c r="E3" s="5"/>
      <c r="F3" s="5"/>
      <c r="G3" s="97">
        <f>IFERROR(__xludf.DUMMYFUNCTION("""COMPUTED_VALUE"""),44067.0)</f>
        <v>44067</v>
      </c>
      <c r="H3" s="5" t="str">
        <f>IFERROR(__xludf.DUMMYFUNCTION("""COMPUTED_VALUE"""),"[Anonymized]")</f>
        <v>[Anonymized]</v>
      </c>
      <c r="I3" s="5" t="str">
        <f>IFERROR(__xludf.DUMMYFUNCTION("""COMPUTED_VALUE"""),"[Anonymized]")</f>
        <v>[Anonymized]</v>
      </c>
      <c r="J3" s="5" t="str">
        <f>IFERROR(__xludf.DUMMYFUNCTION("""COMPUTED_VALUE"""),"Review")</f>
        <v>Review</v>
      </c>
      <c r="K3" s="5" t="str">
        <f>IFERROR(__xludf.DUMMYFUNCTION("""COMPUTED_VALUE"""),"Revise and Resubmit")</f>
        <v>Revise and Resubmit</v>
      </c>
      <c r="L3" s="5"/>
      <c r="M3" s="5"/>
    </row>
    <row r="4">
      <c r="A4" s="5">
        <f>IFERROR(__xludf.DUMMYFUNCTION("""COMPUTED_VALUE"""),805.0)</f>
        <v>805</v>
      </c>
      <c r="B4" s="5" t="str">
        <f>IFERROR(__xludf.DUMMYFUNCTION("""COMPUTED_VALUE"""),"[Anonymized]")</f>
        <v>[Anonymized]</v>
      </c>
      <c r="C4" s="5" t="str">
        <f>IFERROR(__xludf.DUMMYFUNCTION("""COMPUTED_VALUE"""),"[Anonymized]")</f>
        <v>[Anonymized]</v>
      </c>
      <c r="D4" s="5" t="str">
        <f>IFERROR(__xludf.DUMMYFUNCTION("""COMPUTED_VALUE"""),"Research Article")</f>
        <v>Research Article</v>
      </c>
      <c r="E4" s="5"/>
      <c r="F4" s="5"/>
      <c r="G4" s="97">
        <f>IFERROR(__xludf.DUMMYFUNCTION("""COMPUTED_VALUE"""),44162.0)</f>
        <v>44162</v>
      </c>
      <c r="H4" s="5" t="str">
        <f>IFERROR(__xludf.DUMMYFUNCTION("""COMPUTED_VALUE"""),"[Anonymized]")</f>
        <v>[Anonymized]</v>
      </c>
      <c r="I4" s="5" t="str">
        <f>IFERROR(__xludf.DUMMYFUNCTION("""COMPUTED_VALUE"""),"[Anonymized]")</f>
        <v>[Anonymized]</v>
      </c>
      <c r="J4" s="5" t="str">
        <f>IFERROR(__xludf.DUMMYFUNCTION("""COMPUTED_VALUE"""),"Review")</f>
        <v>Review</v>
      </c>
      <c r="K4" s="5" t="str">
        <f>IFERROR(__xludf.DUMMYFUNCTION("""COMPUTED_VALUE"""),"Revise and Resubmit")</f>
        <v>Revise and Resubmit</v>
      </c>
      <c r="L4" s="5"/>
      <c r="M4" s="5"/>
    </row>
    <row r="5">
      <c r="A5" s="5">
        <f>IFERROR(__xludf.DUMMYFUNCTION("""COMPUTED_VALUE"""),873.0)</f>
        <v>873</v>
      </c>
      <c r="B5" s="5" t="str">
        <f>IFERROR(__xludf.DUMMYFUNCTION("""COMPUTED_VALUE"""),"[Anonymized]")</f>
        <v>[Anonymized]</v>
      </c>
      <c r="C5" s="5" t="str">
        <f>IFERROR(__xludf.DUMMYFUNCTION("""COMPUTED_VALUE"""),"[Anonymized]")</f>
        <v>[Anonymized]</v>
      </c>
      <c r="D5" s="5" t="str">
        <f>IFERROR(__xludf.DUMMYFUNCTION("""COMPUTED_VALUE"""),"Thematic Collection")</f>
        <v>Thematic Collection</v>
      </c>
      <c r="E5" s="5"/>
      <c r="F5" s="5" t="str">
        <f>IFERROR(__xludf.DUMMYFUNCTION("""COMPUTED_VALUE"""),"Transnational STS")</f>
        <v>Transnational STS</v>
      </c>
      <c r="G5" s="97" t="str">
        <f>IFERROR(__xludf.DUMMYFUNCTION("""COMPUTED_VALUE"""),"28-12-2020")</f>
        <v>28-12-2020</v>
      </c>
      <c r="H5" s="5" t="str">
        <f>IFERROR(__xludf.DUMMYFUNCTION("""COMPUTED_VALUE"""),"[Anonymized]")</f>
        <v>[Anonymized]</v>
      </c>
      <c r="I5" s="5" t="str">
        <f>IFERROR(__xludf.DUMMYFUNCTION("""COMPUTED_VALUE"""),"[Anonymized]")</f>
        <v>[Anonymized]</v>
      </c>
      <c r="J5" s="5" t="str">
        <f>IFERROR(__xludf.DUMMYFUNCTION("""COMPUTED_VALUE"""),"Review")</f>
        <v>Review</v>
      </c>
      <c r="K5" s="5" t="str">
        <f>IFERROR(__xludf.DUMMYFUNCTION("""COMPUTED_VALUE"""),"Minor Revisions")</f>
        <v>Minor Revisions</v>
      </c>
      <c r="L5" s="5"/>
      <c r="M5" s="5"/>
    </row>
    <row r="6">
      <c r="A6" s="5">
        <f>IFERROR(__xludf.DUMMYFUNCTION("""COMPUTED_VALUE"""),933.0)</f>
        <v>933</v>
      </c>
      <c r="B6" s="5" t="str">
        <f>IFERROR(__xludf.DUMMYFUNCTION("""COMPUTED_VALUE"""),"[Anonymized]")</f>
        <v>[Anonymized]</v>
      </c>
      <c r="C6" s="5" t="str">
        <f>IFERROR(__xludf.DUMMYFUNCTION("""COMPUTED_VALUE"""),"[Anonymized]")</f>
        <v>[Anonymized]</v>
      </c>
      <c r="D6" s="5" t="str">
        <f>IFERROR(__xludf.DUMMYFUNCTION("""COMPUTED_VALUE"""),"Research Article")</f>
        <v>Research Article</v>
      </c>
      <c r="E6" s="5"/>
      <c r="F6" s="5"/>
      <c r="G6" s="97">
        <f>IFERROR(__xludf.DUMMYFUNCTION("""COMPUTED_VALUE"""),44227.0)</f>
        <v>44227</v>
      </c>
      <c r="H6" s="5" t="str">
        <f>IFERROR(__xludf.DUMMYFUNCTION("""COMPUTED_VALUE"""),"[Anonymized]")</f>
        <v>[Anonymized]</v>
      </c>
      <c r="I6" s="5" t="str">
        <f>IFERROR(__xludf.DUMMYFUNCTION("""COMPUTED_VALUE"""),"[Anonymized]")</f>
        <v>[Anonymized]</v>
      </c>
      <c r="J6" s="5" t="str">
        <f>IFERROR(__xludf.DUMMYFUNCTION("""COMPUTED_VALUE"""),"Review")</f>
        <v>Review</v>
      </c>
      <c r="K6" s="5" t="str">
        <f>IFERROR(__xludf.DUMMYFUNCTION("""COMPUTED_VALUE"""),"With Authors")</f>
        <v>With Authors</v>
      </c>
      <c r="L6" s="5"/>
      <c r="M6" s="5"/>
    </row>
    <row r="7">
      <c r="A7" s="5" t="str">
        <f>IFERROR(__xludf.DUMMYFUNCTION("""COMPUTED_VALUE"""),".")</f>
        <v>.</v>
      </c>
      <c r="B7" s="5" t="str">
        <f>IFERROR(__xludf.DUMMYFUNCTION("""COMPUTED_VALUE"""),"[Anonymized]")</f>
        <v>[Anonymized]</v>
      </c>
      <c r="C7" s="5" t="str">
        <f>IFERROR(__xludf.DUMMYFUNCTION("""COMPUTED_VALUE"""),"[Anonymized]")</f>
        <v>[Anonymized]</v>
      </c>
      <c r="D7" s="5" t="str">
        <f>IFERROR(__xludf.DUMMYFUNCTION("""COMPUTED_VALUE"""),"Research Article")</f>
        <v>Research Article</v>
      </c>
      <c r="E7" s="5"/>
      <c r="F7" s="5"/>
      <c r="G7" s="97">
        <f>IFERROR(__xludf.DUMMYFUNCTION("""COMPUTED_VALUE"""),44271.0)</f>
        <v>44271</v>
      </c>
      <c r="H7" s="5" t="str">
        <f>IFERROR(__xludf.DUMMYFUNCTION("""COMPUTED_VALUE"""),"[Anonymized]")</f>
        <v>[Anonymized]</v>
      </c>
      <c r="I7" s="5" t="str">
        <f>IFERROR(__xludf.DUMMYFUNCTION("""COMPUTED_VALUE"""),"[Anonymized]")</f>
        <v>[Anonymized]</v>
      </c>
      <c r="J7" s="5" t="str">
        <f>IFERROR(__xludf.DUMMYFUNCTION("""COMPUTED_VALUE"""),"Review")</f>
        <v>Review</v>
      </c>
      <c r="K7" s="5" t="str">
        <f>IFERROR(__xludf.DUMMYFUNCTION("""COMPUTED_VALUE"""),"with author. Revisions required before sending out for review")</f>
        <v>with author. Revisions required before sending out for review</v>
      </c>
      <c r="L7" s="5"/>
      <c r="M7" s="5"/>
    </row>
    <row r="8">
      <c r="A8" s="5">
        <f>IFERROR(__xludf.DUMMYFUNCTION("""COMPUTED_VALUE"""),1031.0)</f>
        <v>1031</v>
      </c>
      <c r="B8" s="5" t="str">
        <f>IFERROR(__xludf.DUMMYFUNCTION("""COMPUTED_VALUE"""),"[Anonymized]")</f>
        <v>[Anonymized]</v>
      </c>
      <c r="C8" s="5" t="str">
        <f>IFERROR(__xludf.DUMMYFUNCTION("""COMPUTED_VALUE"""),"[Anonymized]")</f>
        <v>[Anonymized]</v>
      </c>
      <c r="D8" s="5" t="str">
        <f>IFERROR(__xludf.DUMMYFUNCTION("""COMPUTED_VALUE"""),"Research Article")</f>
        <v>Research Article</v>
      </c>
      <c r="E8" s="5"/>
      <c r="F8" s="5"/>
      <c r="G8" s="97">
        <f>IFERROR(__xludf.DUMMYFUNCTION("""COMPUTED_VALUE"""),44304.0)</f>
        <v>44304</v>
      </c>
      <c r="H8" s="5" t="str">
        <f>IFERROR(__xludf.DUMMYFUNCTION("""COMPUTED_VALUE"""),"[Anonymized]")</f>
        <v>[Anonymized]</v>
      </c>
      <c r="I8" s="5" t="str">
        <f>IFERROR(__xludf.DUMMYFUNCTION("""COMPUTED_VALUE"""),"[Anonymized]")</f>
        <v>[Anonymized]</v>
      </c>
      <c r="J8" s="5" t="str">
        <f>IFERROR(__xludf.DUMMYFUNCTION("""COMPUTED_VALUE"""),"Review")</f>
        <v>Review</v>
      </c>
      <c r="K8" s="5" t="str">
        <f>IFERROR(__xludf.DUMMYFUNCTION("""COMPUTED_VALUE"""),"With Authors")</f>
        <v>With Authors</v>
      </c>
      <c r="L8" s="5"/>
      <c r="M8" s="5"/>
    </row>
    <row r="9">
      <c r="A9" s="5">
        <f>IFERROR(__xludf.DUMMYFUNCTION("""COMPUTED_VALUE"""),1049.0)</f>
        <v>1049</v>
      </c>
      <c r="B9" s="5" t="str">
        <f>IFERROR(__xludf.DUMMYFUNCTION("""COMPUTED_VALUE"""),"[Anonymized]")</f>
        <v>[Anonymized]</v>
      </c>
      <c r="C9" s="5" t="str">
        <f>IFERROR(__xludf.DUMMYFUNCTION("""COMPUTED_VALUE"""),"[Anonymized]")</f>
        <v>[Anonymized]</v>
      </c>
      <c r="D9" s="5" t="str">
        <f>IFERROR(__xludf.DUMMYFUNCTION("""COMPUTED_VALUE"""),"Research Article")</f>
        <v>Research Article</v>
      </c>
      <c r="E9" s="5"/>
      <c r="F9" s="5"/>
      <c r="G9" s="97">
        <f>IFERROR(__xludf.DUMMYFUNCTION("""COMPUTED_VALUE"""),44323.0)</f>
        <v>44323</v>
      </c>
      <c r="H9" s="5" t="str">
        <f>IFERROR(__xludf.DUMMYFUNCTION("""COMPUTED_VALUE"""),"[Anonymized]")</f>
        <v>[Anonymized]</v>
      </c>
      <c r="I9" s="5" t="str">
        <f>IFERROR(__xludf.DUMMYFUNCTION("""COMPUTED_VALUE"""),"[Anonymized]")</f>
        <v>[Anonymized]</v>
      </c>
      <c r="J9" s="5" t="str">
        <f>IFERROR(__xludf.DUMMYFUNCTION("""COMPUTED_VALUE"""),"Review")</f>
        <v>Review</v>
      </c>
      <c r="K9" s="5" t="str">
        <f>IFERROR(__xludf.DUMMYFUNCTION("""COMPUTED_VALUE"""),"With Authors")</f>
        <v>With Authors</v>
      </c>
      <c r="L9" s="5"/>
      <c r="M9" s="5"/>
    </row>
    <row r="10">
      <c r="A10" s="5">
        <f>IFERROR(__xludf.DUMMYFUNCTION("""COMPUTED_VALUE"""),1059.0)</f>
        <v>1059</v>
      </c>
      <c r="B10" s="5" t="str">
        <f>IFERROR(__xludf.DUMMYFUNCTION("""COMPUTED_VALUE"""),"[Anonymized]")</f>
        <v>[Anonymized]</v>
      </c>
      <c r="C10" s="5" t="str">
        <f>IFERROR(__xludf.DUMMYFUNCTION("""COMPUTED_VALUE"""),"[Anonymized]")</f>
        <v>[Anonymized]</v>
      </c>
      <c r="D10" s="5" t="str">
        <f>IFERROR(__xludf.DUMMYFUNCTION("""COMPUTED_VALUE"""),"Research Article")</f>
        <v>Research Article</v>
      </c>
      <c r="E10" s="5"/>
      <c r="F10" s="5"/>
      <c r="G10" s="97">
        <f>IFERROR(__xludf.DUMMYFUNCTION("""COMPUTED_VALUE"""),44326.0)</f>
        <v>44326</v>
      </c>
      <c r="H10" s="5" t="str">
        <f>IFERROR(__xludf.DUMMYFUNCTION("""COMPUTED_VALUE"""),"[Anonymized]")</f>
        <v>[Anonymized]</v>
      </c>
      <c r="I10" s="5" t="str">
        <f>IFERROR(__xludf.DUMMYFUNCTION("""COMPUTED_VALUE"""),"[Anonymized]")</f>
        <v>[Anonymized]</v>
      </c>
      <c r="J10" s="5" t="str">
        <f>IFERROR(__xludf.DUMMYFUNCTION("""COMPUTED_VALUE"""),"Review")</f>
        <v>Review</v>
      </c>
      <c r="K10" s="5" t="str">
        <f>IFERROR(__xludf.DUMMYFUNCTION("""COMPUTED_VALUE"""),"Revisions expected by end of Aug 2022")</f>
        <v>Revisions expected by end of Aug 2022</v>
      </c>
      <c r="L10" s="5"/>
      <c r="M10" s="5"/>
    </row>
    <row r="11">
      <c r="A11" s="5">
        <f>IFERROR(__xludf.DUMMYFUNCTION("""COMPUTED_VALUE"""),1091.0)</f>
        <v>1091</v>
      </c>
      <c r="B11" s="5" t="str">
        <f>IFERROR(__xludf.DUMMYFUNCTION("""COMPUTED_VALUE"""),"[Anonymized]")</f>
        <v>[Anonymized]</v>
      </c>
      <c r="C11" s="5" t="str">
        <f>IFERROR(__xludf.DUMMYFUNCTION("""COMPUTED_VALUE"""),"[Anonymized]")</f>
        <v>[Anonymized]</v>
      </c>
      <c r="D11" s="5" t="str">
        <f>IFERROR(__xludf.DUMMYFUNCTION("""COMPUTED_VALUE"""),"Thematic Collection")</f>
        <v>Thematic Collection</v>
      </c>
      <c r="E11" s="5"/>
      <c r="F11" s="5" t="str">
        <f>IFERROR(__xludf.DUMMYFUNCTION("""COMPUTED_VALUE"""),"Places/Spaces of STS")</f>
        <v>Places/Spaces of STS</v>
      </c>
      <c r="G11" s="97">
        <f>IFERROR(__xludf.DUMMYFUNCTION("""COMPUTED_VALUE"""),44345.0)</f>
        <v>44345</v>
      </c>
      <c r="H11" s="5" t="str">
        <f>IFERROR(__xludf.DUMMYFUNCTION("""COMPUTED_VALUE"""),"[Anonymized]")</f>
        <v>[Anonymized]</v>
      </c>
      <c r="I11" s="5" t="str">
        <f>IFERROR(__xludf.DUMMYFUNCTION("""COMPUTED_VALUE"""),"[Anonymized]")</f>
        <v>[Anonymized]</v>
      </c>
      <c r="J11" s="5" t="str">
        <f>IFERROR(__xludf.DUMMYFUNCTION("""COMPUTED_VALUE"""),"Review")</f>
        <v>Review</v>
      </c>
      <c r="K11" s="5" t="str">
        <f>IFERROR(__xludf.DUMMYFUNCTION("""COMPUTED_VALUE"""),"Reduction in word count")</f>
        <v>Reduction in word count</v>
      </c>
      <c r="L11" s="5"/>
      <c r="M11" s="5"/>
    </row>
    <row r="12">
      <c r="A12" s="5">
        <f>IFERROR(__xludf.DUMMYFUNCTION("""COMPUTED_VALUE"""),1095.0)</f>
        <v>1095</v>
      </c>
      <c r="B12" s="5" t="str">
        <f>IFERROR(__xludf.DUMMYFUNCTION("""COMPUTED_VALUE"""),"[Anonymized]")</f>
        <v>[Anonymized]</v>
      </c>
      <c r="C12" s="5" t="str">
        <f>IFERROR(__xludf.DUMMYFUNCTION("""COMPUTED_VALUE"""),"[Anonymized]")</f>
        <v>[Anonymized]</v>
      </c>
      <c r="D12" s="5" t="str">
        <f>IFERROR(__xludf.DUMMYFUNCTION("""COMPUTED_VALUE"""),"Thematic Collection")</f>
        <v>Thematic Collection</v>
      </c>
      <c r="E12" s="5"/>
      <c r="F12" s="5" t="str">
        <f>IFERROR(__xludf.DUMMYFUNCTION("""COMPUTED_VALUE"""),"Places/Spaces of STS")</f>
        <v>Places/Spaces of STS</v>
      </c>
      <c r="G12" s="97">
        <f>IFERROR(__xludf.DUMMYFUNCTION("""COMPUTED_VALUE"""),44348.0)</f>
        <v>44348</v>
      </c>
      <c r="H12" s="5" t="str">
        <f>IFERROR(__xludf.DUMMYFUNCTION("""COMPUTED_VALUE"""),"[Anonymized]")</f>
        <v>[Anonymized]</v>
      </c>
      <c r="I12" s="5" t="str">
        <f>IFERROR(__xludf.DUMMYFUNCTION("""COMPUTED_VALUE"""),"[Anonymized]")</f>
        <v>[Anonymized]</v>
      </c>
      <c r="J12" s="5" t="str">
        <f>IFERROR(__xludf.DUMMYFUNCTION("""COMPUTED_VALUE"""),"Review")</f>
        <v>Review</v>
      </c>
      <c r="K12" s="5" t="str">
        <f>IFERROR(__xludf.DUMMYFUNCTION("""COMPUTED_VALUE"""),"Attending to some issues that came up in peer review")</f>
        <v>Attending to some issues that came up in peer review</v>
      </c>
      <c r="L12" s="5"/>
      <c r="M12" s="5"/>
    </row>
    <row r="13">
      <c r="A13" s="5">
        <f>IFERROR(__xludf.DUMMYFUNCTION("""COMPUTED_VALUE"""),1109.0)</f>
        <v>1109</v>
      </c>
      <c r="B13" s="5" t="str">
        <f>IFERROR(__xludf.DUMMYFUNCTION("""COMPUTED_VALUE"""),"[Anonymized]")</f>
        <v>[Anonymized]</v>
      </c>
      <c r="C13" s="5" t="str">
        <f>IFERROR(__xludf.DUMMYFUNCTION("""COMPUTED_VALUE"""),"[Anonymized]")</f>
        <v>[Anonymized]</v>
      </c>
      <c r="D13" s="5" t="str">
        <f>IFERROR(__xludf.DUMMYFUNCTION("""COMPUTED_VALUE"""),"Thematic Collection")</f>
        <v>Thematic Collection</v>
      </c>
      <c r="E13" s="5"/>
      <c r="F13" s="5" t="str">
        <f>IFERROR(__xludf.DUMMYFUNCTION("""COMPUTED_VALUE"""),"Transnational STS")</f>
        <v>Transnational STS</v>
      </c>
      <c r="G13" s="97">
        <f>IFERROR(__xludf.DUMMYFUNCTION("""COMPUTED_VALUE"""),44368.0)</f>
        <v>44368</v>
      </c>
      <c r="H13" s="5" t="str">
        <f>IFERROR(__xludf.DUMMYFUNCTION("""COMPUTED_VALUE"""),"[Anonymized]")</f>
        <v>[Anonymized]</v>
      </c>
      <c r="I13" s="5" t="str">
        <f>IFERROR(__xludf.DUMMYFUNCTION("""COMPUTED_VALUE"""),"[Anonymized]")</f>
        <v>[Anonymized]</v>
      </c>
      <c r="J13" s="5" t="str">
        <f>IFERROR(__xludf.DUMMYFUNCTION("""COMPUTED_VALUE"""),"Review")</f>
        <v>Review</v>
      </c>
      <c r="K13" s="5" t="str">
        <f>IFERROR(__xludf.DUMMYFUNCTION("""COMPUTED_VALUE"""),"Awaiting Editorial Decision")</f>
        <v>Awaiting Editorial Decision</v>
      </c>
      <c r="L13" s="5"/>
      <c r="M13" s="5"/>
    </row>
    <row r="14">
      <c r="A14" s="5">
        <f>IFERROR(__xludf.DUMMYFUNCTION("""COMPUTED_VALUE"""),1239.0)</f>
        <v>1239</v>
      </c>
      <c r="B14" s="5" t="str">
        <f>IFERROR(__xludf.DUMMYFUNCTION("""COMPUTED_VALUE"""),"[Anonymized]")</f>
        <v>[Anonymized]</v>
      </c>
      <c r="C14" s="5" t="str">
        <f>IFERROR(__xludf.DUMMYFUNCTION("""COMPUTED_VALUE"""),"[Anonymized]")</f>
        <v>[Anonymized]</v>
      </c>
      <c r="D14" s="5" t="str">
        <f>IFERROR(__xludf.DUMMYFUNCTION("""COMPUTED_VALUE"""),"Thematic Collection")</f>
        <v>Thematic Collection</v>
      </c>
      <c r="E14" s="5"/>
      <c r="F14" s="5" t="str">
        <f>IFERROR(__xludf.DUMMYFUNCTION("""COMPUTED_VALUE"""),"Places/Spaces of STS")</f>
        <v>Places/Spaces of STS</v>
      </c>
      <c r="G14" s="97">
        <f>IFERROR(__xludf.DUMMYFUNCTION("""COMPUTED_VALUE"""),44451.0)</f>
        <v>44451</v>
      </c>
      <c r="H14" s="5" t="str">
        <f>IFERROR(__xludf.DUMMYFUNCTION("""COMPUTED_VALUE"""),"[Anonymized]")</f>
        <v>[Anonymized]</v>
      </c>
      <c r="I14" s="5" t="str">
        <f>IFERROR(__xludf.DUMMYFUNCTION("""COMPUTED_VALUE"""),"[Anonymized]")</f>
        <v>[Anonymized]</v>
      </c>
      <c r="J14" s="5" t="str">
        <f>IFERROR(__xludf.DUMMYFUNCTION("""COMPUTED_VALUE"""),"Review")</f>
        <v>Review</v>
      </c>
      <c r="K14" s="5"/>
      <c r="L14" s="5"/>
      <c r="M14" s="5"/>
    </row>
    <row r="15">
      <c r="A15" s="5">
        <f>IFERROR(__xludf.DUMMYFUNCTION("""COMPUTED_VALUE"""),1305.0)</f>
        <v>1305</v>
      </c>
      <c r="B15" s="5" t="str">
        <f>IFERROR(__xludf.DUMMYFUNCTION("""COMPUTED_VALUE"""),"[Anonymized]")</f>
        <v>[Anonymized]</v>
      </c>
      <c r="C15" s="5" t="str">
        <f>IFERROR(__xludf.DUMMYFUNCTION("""COMPUTED_VALUE"""),"[Anonymized]")</f>
        <v>[Anonymized]</v>
      </c>
      <c r="D15" s="5" t="str">
        <f>IFERROR(__xludf.DUMMYFUNCTION("""COMPUTED_VALUE"""),"Research Article")</f>
        <v>Research Article</v>
      </c>
      <c r="E15" s="5"/>
      <c r="F15" s="5"/>
      <c r="G15" s="97">
        <f>IFERROR(__xludf.DUMMYFUNCTION("""COMPUTED_VALUE"""),44482.0)</f>
        <v>44482</v>
      </c>
      <c r="H15" s="5" t="str">
        <f>IFERROR(__xludf.DUMMYFUNCTION("""COMPUTED_VALUE"""),"[Anonymized]")</f>
        <v>[Anonymized]</v>
      </c>
      <c r="I15" s="5" t="str">
        <f>IFERROR(__xludf.DUMMYFUNCTION("""COMPUTED_VALUE"""),"[Anonymized]")</f>
        <v>[Anonymized]</v>
      </c>
      <c r="J15" s="5" t="str">
        <f>IFERROR(__xludf.DUMMYFUNCTION("""COMPUTED_VALUE"""),"Review")</f>
        <v>Review</v>
      </c>
      <c r="K15" s="5" t="str">
        <f>IFERROR(__xludf.DUMMYFUNCTION("""COMPUTED_VALUE"""),"Resubmission expected by end July 15, 2022")</f>
        <v>Resubmission expected by end July 15, 2022</v>
      </c>
      <c r="L15" s="5"/>
      <c r="M15" s="5"/>
    </row>
    <row r="16">
      <c r="A16" s="5">
        <f>IFERROR(__xludf.DUMMYFUNCTION("""COMPUTED_VALUE"""),1277.0)</f>
        <v>1277</v>
      </c>
      <c r="B16" s="5" t="str">
        <f>IFERROR(__xludf.DUMMYFUNCTION("""COMPUTED_VALUE"""),"[Anonymized]")</f>
        <v>[Anonymized]</v>
      </c>
      <c r="C16" s="5" t="str">
        <f>IFERROR(__xludf.DUMMYFUNCTION("""COMPUTED_VALUE"""),"[Anonymized]")</f>
        <v>[Anonymized]</v>
      </c>
      <c r="D16" s="5" t="str">
        <f>IFERROR(__xludf.DUMMYFUNCTION("""COMPUTED_VALUE"""),"Thematic Collection")</f>
        <v>Thematic Collection</v>
      </c>
      <c r="E16" s="5"/>
      <c r="F16" s="5" t="str">
        <f>IFERROR(__xludf.DUMMYFUNCTION("""COMPUTED_VALUE"""),"Maintenance and its Knowledges")</f>
        <v>Maintenance and its Knowledges</v>
      </c>
      <c r="G16" s="97">
        <f>IFERROR(__xludf.DUMMYFUNCTION("""COMPUTED_VALUE"""),44470.0)</f>
        <v>44470</v>
      </c>
      <c r="H16" s="5" t="str">
        <f>IFERROR(__xludf.DUMMYFUNCTION("""COMPUTED_VALUE"""),"[Anonymized]")</f>
        <v>[Anonymized]</v>
      </c>
      <c r="I16" s="5" t="str">
        <f>IFERROR(__xludf.DUMMYFUNCTION("""COMPUTED_VALUE"""),"[Anonymized]")</f>
        <v>[Anonymized]</v>
      </c>
      <c r="J16" s="5" t="str">
        <f>IFERROR(__xludf.DUMMYFUNCTION("""COMPUTED_VALUE"""),"Review")</f>
        <v>Review</v>
      </c>
      <c r="K16" s="5" t="str">
        <f>IFERROR(__xludf.DUMMYFUNCTION("""COMPUTED_VALUE"""),"Revise and Resbmit")</f>
        <v>Revise and Resbmit</v>
      </c>
      <c r="L16" s="5"/>
      <c r="M16" s="5"/>
    </row>
    <row r="17">
      <c r="A17" s="5">
        <f>IFERROR(__xludf.DUMMYFUNCTION("""COMPUTED_VALUE"""),1323.0)</f>
        <v>1323</v>
      </c>
      <c r="B17" s="5" t="str">
        <f>IFERROR(__xludf.DUMMYFUNCTION("""COMPUTED_VALUE"""),"[Anonymized]")</f>
        <v>[Anonymized]</v>
      </c>
      <c r="C17" s="5" t="str">
        <f>IFERROR(__xludf.DUMMYFUNCTION("""COMPUTED_VALUE"""),"[Anonymized]")</f>
        <v>[Anonymized]</v>
      </c>
      <c r="D17" s="5" t="str">
        <f>IFERROR(__xludf.DUMMYFUNCTION("""COMPUTED_VALUE"""),"Thematic Collection")</f>
        <v>Thematic Collection</v>
      </c>
      <c r="E17" s="5"/>
      <c r="F17" s="5" t="str">
        <f>IFERROR(__xludf.DUMMYFUNCTION("""COMPUTED_VALUE"""),"Maintenance and its Knowledges")</f>
        <v>Maintenance and its Knowledges</v>
      </c>
      <c r="G17" s="97">
        <f>IFERROR(__xludf.DUMMYFUNCTION("""COMPUTED_VALUE"""),44502.0)</f>
        <v>44502</v>
      </c>
      <c r="H17" s="5" t="str">
        <f>IFERROR(__xludf.DUMMYFUNCTION("""COMPUTED_VALUE"""),"[Anonymized]")</f>
        <v>[Anonymized]</v>
      </c>
      <c r="I17" s="5" t="str">
        <f>IFERROR(__xludf.DUMMYFUNCTION("""COMPUTED_VALUE"""),"[Anonymized]")</f>
        <v>[Anonymized]</v>
      </c>
      <c r="J17" s="5" t="str">
        <f>IFERROR(__xludf.DUMMYFUNCTION("""COMPUTED_VALUE"""),"Review")</f>
        <v>Review</v>
      </c>
      <c r="K17" s="5" t="str">
        <f>IFERROR(__xludf.DUMMYFUNCTION("""COMPUTED_VALUE"""),"Revise and Resbmit")</f>
        <v>Revise and Resbmit</v>
      </c>
      <c r="L17" s="5"/>
      <c r="M17" s="5"/>
    </row>
    <row r="18">
      <c r="A18" s="5">
        <f>IFERROR(__xludf.DUMMYFUNCTION("""COMPUTED_VALUE"""),1325.0)</f>
        <v>1325</v>
      </c>
      <c r="B18" s="5" t="str">
        <f>IFERROR(__xludf.DUMMYFUNCTION("""COMPUTED_VALUE"""),"[Anonymized]")</f>
        <v>[Anonymized]</v>
      </c>
      <c r="C18" s="5" t="str">
        <f>IFERROR(__xludf.DUMMYFUNCTION("""COMPUTED_VALUE"""),"[Anonymized]")</f>
        <v>[Anonymized]</v>
      </c>
      <c r="D18" s="5" t="str">
        <f>IFERROR(__xludf.DUMMYFUNCTION("""COMPUTED_VALUE"""),"Thematic Collection")</f>
        <v>Thematic Collection</v>
      </c>
      <c r="E18" s="5"/>
      <c r="F18" s="5" t="str">
        <f>IFERROR(__xludf.DUMMYFUNCTION("""COMPUTED_VALUE"""),"Maintenance and its Knowledges")</f>
        <v>Maintenance and its Knowledges</v>
      </c>
      <c r="G18" s="97">
        <f>IFERROR(__xludf.DUMMYFUNCTION("""COMPUTED_VALUE"""),44502.0)</f>
        <v>44502</v>
      </c>
      <c r="H18" s="5" t="str">
        <f>IFERROR(__xludf.DUMMYFUNCTION("""COMPUTED_VALUE"""),"[Anonymized]")</f>
        <v>[Anonymized]</v>
      </c>
      <c r="I18" s="5" t="str">
        <f>IFERROR(__xludf.DUMMYFUNCTION("""COMPUTED_VALUE"""),"[Anonymized]")</f>
        <v>[Anonymized]</v>
      </c>
      <c r="J18" s="5" t="str">
        <f>IFERROR(__xludf.DUMMYFUNCTION("""COMPUTED_VALUE"""),"Review")</f>
        <v>Review</v>
      </c>
      <c r="K18" s="5" t="str">
        <f>IFERROR(__xludf.DUMMYFUNCTION("""COMPUTED_VALUE"""),"Revise and Resbmit")</f>
        <v>Revise and Resbmit</v>
      </c>
      <c r="L18" s="5"/>
      <c r="M18" s="5"/>
    </row>
    <row r="19">
      <c r="A19" s="5">
        <f>IFERROR(__xludf.DUMMYFUNCTION("""COMPUTED_VALUE"""),1329.0)</f>
        <v>1329</v>
      </c>
      <c r="B19" s="5" t="str">
        <f>IFERROR(__xludf.DUMMYFUNCTION("""COMPUTED_VALUE"""),"[Anonymized]")</f>
        <v>[Anonymized]</v>
      </c>
      <c r="C19" s="5" t="str">
        <f>IFERROR(__xludf.DUMMYFUNCTION("""COMPUTED_VALUE"""),"[Anonymized]")</f>
        <v>[Anonymized]</v>
      </c>
      <c r="D19" s="5" t="str">
        <f>IFERROR(__xludf.DUMMYFUNCTION("""COMPUTED_VALUE"""),"Thematic Collection")</f>
        <v>Thematic Collection</v>
      </c>
      <c r="E19" s="5"/>
      <c r="F19" s="5" t="str">
        <f>IFERROR(__xludf.DUMMYFUNCTION("""COMPUTED_VALUE"""),"Maintenance and its Knowledges")</f>
        <v>Maintenance and its Knowledges</v>
      </c>
      <c r="G19" s="97">
        <f>IFERROR(__xludf.DUMMYFUNCTION("""COMPUTED_VALUE"""),44503.0)</f>
        <v>44503</v>
      </c>
      <c r="H19" s="5" t="str">
        <f>IFERROR(__xludf.DUMMYFUNCTION("""COMPUTED_VALUE"""),"[Anonymized]")</f>
        <v>[Anonymized]</v>
      </c>
      <c r="I19" s="5" t="str">
        <f>IFERROR(__xludf.DUMMYFUNCTION("""COMPUTED_VALUE"""),"[Anonymized]")</f>
        <v>[Anonymized]</v>
      </c>
      <c r="J19" s="5" t="str">
        <f>IFERROR(__xludf.DUMMYFUNCTION("""COMPUTED_VALUE"""),"Review")</f>
        <v>Review</v>
      </c>
      <c r="K19" s="5" t="str">
        <f>IFERROR(__xludf.DUMMYFUNCTION("""COMPUTED_VALUE"""),"Revise and Resbmit")</f>
        <v>Revise and Resbmit</v>
      </c>
      <c r="L19" s="5"/>
      <c r="M19" s="5"/>
    </row>
    <row r="20">
      <c r="A20" s="5">
        <f>IFERROR(__xludf.DUMMYFUNCTION("""COMPUTED_VALUE"""),1331.0)</f>
        <v>1331</v>
      </c>
      <c r="B20" s="5" t="str">
        <f>IFERROR(__xludf.DUMMYFUNCTION("""COMPUTED_VALUE"""),"[Anonymized]")</f>
        <v>[Anonymized]</v>
      </c>
      <c r="C20" s="5" t="str">
        <f>IFERROR(__xludf.DUMMYFUNCTION("""COMPUTED_VALUE"""),"[Anonymized]")</f>
        <v>[Anonymized]</v>
      </c>
      <c r="D20" s="5" t="str">
        <f>IFERROR(__xludf.DUMMYFUNCTION("""COMPUTED_VALUE"""),"Thematic Collection")</f>
        <v>Thematic Collection</v>
      </c>
      <c r="E20" s="5"/>
      <c r="F20" s="5" t="str">
        <f>IFERROR(__xludf.DUMMYFUNCTION("""COMPUTED_VALUE"""),"Maintenance and its Knowledges")</f>
        <v>Maintenance and its Knowledges</v>
      </c>
      <c r="G20" s="97">
        <f>IFERROR(__xludf.DUMMYFUNCTION("""COMPUTED_VALUE"""),44503.0)</f>
        <v>44503</v>
      </c>
      <c r="H20" s="5" t="str">
        <f>IFERROR(__xludf.DUMMYFUNCTION("""COMPUTED_VALUE"""),"[Anonymized]")</f>
        <v>[Anonymized]</v>
      </c>
      <c r="I20" s="5" t="str">
        <f>IFERROR(__xludf.DUMMYFUNCTION("""COMPUTED_VALUE"""),"[Anonymized]")</f>
        <v>[Anonymized]</v>
      </c>
      <c r="J20" s="5" t="str">
        <f>IFERROR(__xludf.DUMMYFUNCTION("""COMPUTED_VALUE"""),"Review")</f>
        <v>Review</v>
      </c>
      <c r="K20" s="5" t="str">
        <f>IFERROR(__xludf.DUMMYFUNCTION("""COMPUTED_VALUE"""),"Revise and Resbmit")</f>
        <v>Revise and Resbmit</v>
      </c>
      <c r="L20" s="5"/>
      <c r="M20" s="5"/>
    </row>
    <row r="21">
      <c r="A21" s="5">
        <f>IFERROR(__xludf.DUMMYFUNCTION("""COMPUTED_VALUE"""),1337.0)</f>
        <v>1337</v>
      </c>
      <c r="B21" s="5" t="str">
        <f>IFERROR(__xludf.DUMMYFUNCTION("""COMPUTED_VALUE"""),"[Anonymized]")</f>
        <v>[Anonymized]</v>
      </c>
      <c r="C21" s="5" t="str">
        <f>IFERROR(__xludf.DUMMYFUNCTION("""COMPUTED_VALUE"""),"[Anonymized]")</f>
        <v>[Anonymized]</v>
      </c>
      <c r="D21" s="5" t="str">
        <f>IFERROR(__xludf.DUMMYFUNCTION("""COMPUTED_VALUE"""),"Thematic Collection")</f>
        <v>Thematic Collection</v>
      </c>
      <c r="E21" s="5"/>
      <c r="F21" s="5" t="str">
        <f>IFERROR(__xludf.DUMMYFUNCTION("""COMPUTED_VALUE"""),"Maintenance and its Knowledges")</f>
        <v>Maintenance and its Knowledges</v>
      </c>
      <c r="G21" s="97">
        <f>IFERROR(__xludf.DUMMYFUNCTION("""COMPUTED_VALUE"""),44505.0)</f>
        <v>44505</v>
      </c>
      <c r="H21" s="5" t="str">
        <f>IFERROR(__xludf.DUMMYFUNCTION("""COMPUTED_VALUE"""),"[Anonymized]")</f>
        <v>[Anonymized]</v>
      </c>
      <c r="I21" s="5" t="str">
        <f>IFERROR(__xludf.DUMMYFUNCTION("""COMPUTED_VALUE"""),"[Anonymized]")</f>
        <v>[Anonymized]</v>
      </c>
      <c r="J21" s="5" t="str">
        <f>IFERROR(__xludf.DUMMYFUNCTION("""COMPUTED_VALUE"""),"Review")</f>
        <v>Review</v>
      </c>
      <c r="K21" s="5" t="str">
        <f>IFERROR(__xludf.DUMMYFUNCTION("""COMPUTED_VALUE"""),"Revise and Resbmit")</f>
        <v>Revise and Resbmit</v>
      </c>
      <c r="L21" s="5"/>
      <c r="M21" s="5"/>
    </row>
    <row r="22">
      <c r="A22" s="5">
        <f>IFERROR(__xludf.DUMMYFUNCTION("""COMPUTED_VALUE"""),1347.0)</f>
        <v>1347</v>
      </c>
      <c r="B22" s="5" t="str">
        <f>IFERROR(__xludf.DUMMYFUNCTION("""COMPUTED_VALUE"""),"[Anonymized]")</f>
        <v>[Anonymized]</v>
      </c>
      <c r="C22" s="5" t="str">
        <f>IFERROR(__xludf.DUMMYFUNCTION("""COMPUTED_VALUE"""),"[Anonymized]")</f>
        <v>[Anonymized]</v>
      </c>
      <c r="D22" s="5" t="str">
        <f>IFERROR(__xludf.DUMMYFUNCTION("""COMPUTED_VALUE"""),"Thematic Collection")</f>
        <v>Thematic Collection</v>
      </c>
      <c r="E22" s="5"/>
      <c r="F22" s="5" t="str">
        <f>IFERROR(__xludf.DUMMYFUNCTION("""COMPUTED_VALUE"""),"Maintenance and its Knowledges")</f>
        <v>Maintenance and its Knowledges</v>
      </c>
      <c r="G22" s="97">
        <f>IFERROR(__xludf.DUMMYFUNCTION("""COMPUTED_VALUE"""),44512.0)</f>
        <v>44512</v>
      </c>
      <c r="H22" s="5" t="str">
        <f>IFERROR(__xludf.DUMMYFUNCTION("""COMPUTED_VALUE"""),"[Anonymized]")</f>
        <v>[Anonymized]</v>
      </c>
      <c r="I22" s="5" t="str">
        <f>IFERROR(__xludf.DUMMYFUNCTION("""COMPUTED_VALUE"""),"[Anonymized]")</f>
        <v>[Anonymized]</v>
      </c>
      <c r="J22" s="5" t="str">
        <f>IFERROR(__xludf.DUMMYFUNCTION("""COMPUTED_VALUE"""),"Review")</f>
        <v>Review</v>
      </c>
      <c r="K22" s="5" t="str">
        <f>IFERROR(__xludf.DUMMYFUNCTION("""COMPUTED_VALUE"""),"Revise and Resbmit")</f>
        <v>Revise and Resbmit</v>
      </c>
      <c r="L22" s="5"/>
      <c r="M22" s="5"/>
    </row>
    <row r="23">
      <c r="A23" s="5">
        <f>IFERROR(__xludf.DUMMYFUNCTION("""COMPUTED_VALUE"""),1351.0)</f>
        <v>1351</v>
      </c>
      <c r="B23" s="5" t="str">
        <f>IFERROR(__xludf.DUMMYFUNCTION("""COMPUTED_VALUE"""),"[Anonymized]")</f>
        <v>[Anonymized]</v>
      </c>
      <c r="C23" s="5" t="str">
        <f>IFERROR(__xludf.DUMMYFUNCTION("""COMPUTED_VALUE"""),"[Anonymized]")</f>
        <v>[Anonymized]</v>
      </c>
      <c r="D23" s="5" t="str">
        <f>IFERROR(__xludf.DUMMYFUNCTION("""COMPUTED_VALUE"""),"Thematic Collection")</f>
        <v>Thematic Collection</v>
      </c>
      <c r="E23" s="5"/>
      <c r="F23" s="5" t="str">
        <f>IFERROR(__xludf.DUMMYFUNCTION("""COMPUTED_VALUE"""),"Maintenance and its Knowledges")</f>
        <v>Maintenance and its Knowledges</v>
      </c>
      <c r="G23" s="97">
        <f>IFERROR(__xludf.DUMMYFUNCTION("""COMPUTED_VALUE"""),44515.0)</f>
        <v>44515</v>
      </c>
      <c r="H23" s="5" t="str">
        <f>IFERROR(__xludf.DUMMYFUNCTION("""COMPUTED_VALUE"""),"[Anonymized]")</f>
        <v>[Anonymized]</v>
      </c>
      <c r="I23" s="5" t="str">
        <f>IFERROR(__xludf.DUMMYFUNCTION("""COMPUTED_VALUE"""),"[Anonymized]")</f>
        <v>[Anonymized]</v>
      </c>
      <c r="J23" s="5" t="str">
        <f>IFERROR(__xludf.DUMMYFUNCTION("""COMPUTED_VALUE"""),"Review")</f>
        <v>Review</v>
      </c>
      <c r="K23" s="5" t="str">
        <f>IFERROR(__xludf.DUMMYFUNCTION("""COMPUTED_VALUE"""),"Revise and Resbmit")</f>
        <v>Revise and Resbmit</v>
      </c>
      <c r="L23" s="5"/>
      <c r="M23" s="5"/>
    </row>
    <row r="24">
      <c r="A24" s="5">
        <f>IFERROR(__xludf.DUMMYFUNCTION("""COMPUTED_VALUE"""),1363.0)</f>
        <v>1363</v>
      </c>
      <c r="B24" s="5" t="str">
        <f>IFERROR(__xludf.DUMMYFUNCTION("""COMPUTED_VALUE"""),"[Anonymized]")</f>
        <v>[Anonymized]</v>
      </c>
      <c r="C24" s="5" t="str">
        <f>IFERROR(__xludf.DUMMYFUNCTION("""COMPUTED_VALUE"""),"[Anonymized]")</f>
        <v>[Anonymized]</v>
      </c>
      <c r="D24" s="5" t="str">
        <f>IFERROR(__xludf.DUMMYFUNCTION("""COMPUTED_VALUE"""),"Thematic Collection")</f>
        <v>Thematic Collection</v>
      </c>
      <c r="E24" s="5"/>
      <c r="F24" s="5" t="str">
        <f>IFERROR(__xludf.DUMMYFUNCTION("""COMPUTED_VALUE"""),"Innovation and STS")</f>
        <v>Innovation and STS</v>
      </c>
      <c r="G24" s="97">
        <f>IFERROR(__xludf.DUMMYFUNCTION("""COMPUTED_VALUE"""),44529.0)</f>
        <v>44529</v>
      </c>
      <c r="H24" s="5" t="str">
        <f>IFERROR(__xludf.DUMMYFUNCTION("""COMPUTED_VALUE"""),"[Anonymized]")</f>
        <v>[Anonymized]</v>
      </c>
      <c r="I24" s="5" t="str">
        <f>IFERROR(__xludf.DUMMYFUNCTION("""COMPUTED_VALUE"""),"[Anonymized]")</f>
        <v>[Anonymized]</v>
      </c>
      <c r="J24" s="5" t="str">
        <f>IFERROR(__xludf.DUMMYFUNCTION("""COMPUTED_VALUE"""),"Review")</f>
        <v>Review</v>
      </c>
      <c r="K24" s="5"/>
      <c r="L24" s="5"/>
      <c r="M24" s="5"/>
    </row>
    <row r="25">
      <c r="A25" s="5">
        <f>IFERROR(__xludf.DUMMYFUNCTION("""COMPUTED_VALUE"""),1365.0)</f>
        <v>1365</v>
      </c>
      <c r="B25" s="5" t="str">
        <f>IFERROR(__xludf.DUMMYFUNCTION("""COMPUTED_VALUE"""),"[Anonymized]")</f>
        <v>[Anonymized]</v>
      </c>
      <c r="C25" s="5" t="str">
        <f>IFERROR(__xludf.DUMMYFUNCTION("""COMPUTED_VALUE"""),"[Anonymized]")</f>
        <v>[Anonymized]</v>
      </c>
      <c r="D25" s="5" t="str">
        <f>IFERROR(__xludf.DUMMYFUNCTION("""COMPUTED_VALUE"""),"Thematic Collection")</f>
        <v>Thematic Collection</v>
      </c>
      <c r="E25" s="5"/>
      <c r="F25" s="5" t="str">
        <f>IFERROR(__xludf.DUMMYFUNCTION("""COMPUTED_VALUE"""),"Innovation and STS")</f>
        <v>Innovation and STS</v>
      </c>
      <c r="G25" s="97">
        <f>IFERROR(__xludf.DUMMYFUNCTION("""COMPUTED_VALUE"""),44529.0)</f>
        <v>44529</v>
      </c>
      <c r="H25" s="5" t="str">
        <f>IFERROR(__xludf.DUMMYFUNCTION("""COMPUTED_VALUE"""),"[Anonymized]")</f>
        <v>[Anonymized]</v>
      </c>
      <c r="I25" s="5" t="str">
        <f>IFERROR(__xludf.DUMMYFUNCTION("""COMPUTED_VALUE"""),"[Anonymized]")</f>
        <v>[Anonymized]</v>
      </c>
      <c r="J25" s="5" t="str">
        <f>IFERROR(__xludf.DUMMYFUNCTION("""COMPUTED_VALUE"""),"Review")</f>
        <v>Review</v>
      </c>
      <c r="K25" s="5"/>
      <c r="L25" s="5"/>
      <c r="M25" s="5"/>
    </row>
    <row r="26">
      <c r="A26" s="5">
        <f>IFERROR(__xludf.DUMMYFUNCTION("""COMPUTED_VALUE"""),1367.0)</f>
        <v>1367</v>
      </c>
      <c r="B26" s="5" t="str">
        <f>IFERROR(__xludf.DUMMYFUNCTION("""COMPUTED_VALUE"""),"[Anonymized]")</f>
        <v>[Anonymized]</v>
      </c>
      <c r="C26" s="5" t="str">
        <f>IFERROR(__xludf.DUMMYFUNCTION("""COMPUTED_VALUE"""),"[Anonymized]")</f>
        <v>[Anonymized]</v>
      </c>
      <c r="D26" s="5" t="str">
        <f>IFERROR(__xludf.DUMMYFUNCTION("""COMPUTED_VALUE"""),"Thematic Collection")</f>
        <v>Thematic Collection</v>
      </c>
      <c r="E26" s="5"/>
      <c r="F26" s="5" t="str">
        <f>IFERROR(__xludf.DUMMYFUNCTION("""COMPUTED_VALUE"""),"Innovation and STS")</f>
        <v>Innovation and STS</v>
      </c>
      <c r="G26" s="97">
        <f>IFERROR(__xludf.DUMMYFUNCTION("""COMPUTED_VALUE"""),44529.0)</f>
        <v>44529</v>
      </c>
      <c r="H26" s="5" t="str">
        <f>IFERROR(__xludf.DUMMYFUNCTION("""COMPUTED_VALUE"""),"[Anonymized]")</f>
        <v>[Anonymized]</v>
      </c>
      <c r="I26" s="5" t="str">
        <f>IFERROR(__xludf.DUMMYFUNCTION("""COMPUTED_VALUE"""),"[Anonymized]")</f>
        <v>[Anonymized]</v>
      </c>
      <c r="J26" s="5" t="str">
        <f>IFERROR(__xludf.DUMMYFUNCTION("""COMPUTED_VALUE"""),"Review")</f>
        <v>Review</v>
      </c>
      <c r="K26" s="5"/>
      <c r="L26" s="5"/>
      <c r="M26" s="5"/>
    </row>
    <row r="27">
      <c r="A27" s="5">
        <f>IFERROR(__xludf.DUMMYFUNCTION("""COMPUTED_VALUE"""),1369.0)</f>
        <v>1369</v>
      </c>
      <c r="B27" s="5" t="str">
        <f>IFERROR(__xludf.DUMMYFUNCTION("""COMPUTED_VALUE"""),"[Anonymized]")</f>
        <v>[Anonymized]</v>
      </c>
      <c r="C27" s="5" t="str">
        <f>IFERROR(__xludf.DUMMYFUNCTION("""COMPUTED_VALUE"""),"[Anonymized]")</f>
        <v>[Anonymized]</v>
      </c>
      <c r="D27" s="5" t="str">
        <f>IFERROR(__xludf.DUMMYFUNCTION("""COMPUTED_VALUE"""),"Thematic Collection")</f>
        <v>Thematic Collection</v>
      </c>
      <c r="E27" s="5"/>
      <c r="F27" s="5" t="str">
        <f>IFERROR(__xludf.DUMMYFUNCTION("""COMPUTED_VALUE"""),"Innovation and STS")</f>
        <v>Innovation and STS</v>
      </c>
      <c r="G27" s="97">
        <f>IFERROR(__xludf.DUMMYFUNCTION("""COMPUTED_VALUE"""),44530.0)</f>
        <v>44530</v>
      </c>
      <c r="H27" s="5" t="str">
        <f>IFERROR(__xludf.DUMMYFUNCTION("""COMPUTED_VALUE"""),"[Anonymized]")</f>
        <v>[Anonymized]</v>
      </c>
      <c r="I27" s="5" t="str">
        <f>IFERROR(__xludf.DUMMYFUNCTION("""COMPUTED_VALUE"""),"[Anonymized]")</f>
        <v>[Anonymized]</v>
      </c>
      <c r="J27" s="5" t="str">
        <f>IFERROR(__xludf.DUMMYFUNCTION("""COMPUTED_VALUE"""),"Review")</f>
        <v>Review</v>
      </c>
      <c r="K27" s="5"/>
      <c r="L27" s="5"/>
      <c r="M27" s="5"/>
    </row>
    <row r="28">
      <c r="A28" s="5">
        <f>IFERROR(__xludf.DUMMYFUNCTION("""COMPUTED_VALUE"""),1371.0)</f>
        <v>1371</v>
      </c>
      <c r="B28" s="5" t="str">
        <f>IFERROR(__xludf.DUMMYFUNCTION("""COMPUTED_VALUE"""),"[Anonymized]")</f>
        <v>[Anonymized]</v>
      </c>
      <c r="C28" s="5" t="str">
        <f>IFERROR(__xludf.DUMMYFUNCTION("""COMPUTED_VALUE"""),"[Anonymized]")</f>
        <v>[Anonymized]</v>
      </c>
      <c r="D28" s="5" t="str">
        <f>IFERROR(__xludf.DUMMYFUNCTION("""COMPUTED_VALUE"""),"Thematic Collection")</f>
        <v>Thematic Collection</v>
      </c>
      <c r="E28" s="5"/>
      <c r="F28" s="5" t="str">
        <f>IFERROR(__xludf.DUMMYFUNCTION("""COMPUTED_VALUE"""),"Innovation and STS")</f>
        <v>Innovation and STS</v>
      </c>
      <c r="G28" s="97">
        <f>IFERROR(__xludf.DUMMYFUNCTION("""COMPUTED_VALUE"""),44530.0)</f>
        <v>44530</v>
      </c>
      <c r="H28" s="5" t="str">
        <f>IFERROR(__xludf.DUMMYFUNCTION("""COMPUTED_VALUE"""),"[Anonymized]")</f>
        <v>[Anonymized]</v>
      </c>
      <c r="I28" s="5" t="str">
        <f>IFERROR(__xludf.DUMMYFUNCTION("""COMPUTED_VALUE"""),"[Anonymized]")</f>
        <v>[Anonymized]</v>
      </c>
      <c r="J28" s="5" t="str">
        <f>IFERROR(__xludf.DUMMYFUNCTION("""COMPUTED_VALUE"""),"Review")</f>
        <v>Review</v>
      </c>
      <c r="K28" s="5"/>
      <c r="L28" s="5"/>
      <c r="M28" s="5"/>
    </row>
    <row r="29">
      <c r="A29" s="5">
        <f>IFERROR(__xludf.DUMMYFUNCTION("""COMPUTED_VALUE"""),1373.0)</f>
        <v>1373</v>
      </c>
      <c r="B29" s="5" t="str">
        <f>IFERROR(__xludf.DUMMYFUNCTION("""COMPUTED_VALUE"""),"[Anonymized]")</f>
        <v>[Anonymized]</v>
      </c>
      <c r="C29" s="5" t="str">
        <f>IFERROR(__xludf.DUMMYFUNCTION("""COMPUTED_VALUE"""),"[Anonymized]")</f>
        <v>[Anonymized]</v>
      </c>
      <c r="D29" s="5" t="str">
        <f>IFERROR(__xludf.DUMMYFUNCTION("""COMPUTED_VALUE"""),"Thematic Collection")</f>
        <v>Thematic Collection</v>
      </c>
      <c r="E29" s="5"/>
      <c r="F29" s="5" t="str">
        <f>IFERROR(__xludf.DUMMYFUNCTION("""COMPUTED_VALUE"""),"Innovation and STS")</f>
        <v>Innovation and STS</v>
      </c>
      <c r="G29" s="97">
        <f>IFERROR(__xludf.DUMMYFUNCTION("""COMPUTED_VALUE"""),44530.0)</f>
        <v>44530</v>
      </c>
      <c r="H29" s="5" t="str">
        <f>IFERROR(__xludf.DUMMYFUNCTION("""COMPUTED_VALUE"""),"[Anonymized]")</f>
        <v>[Anonymized]</v>
      </c>
      <c r="I29" s="5" t="str">
        <f>IFERROR(__xludf.DUMMYFUNCTION("""COMPUTED_VALUE"""),"[Anonymized]")</f>
        <v>[Anonymized]</v>
      </c>
      <c r="J29" s="5" t="str">
        <f>IFERROR(__xludf.DUMMYFUNCTION("""COMPUTED_VALUE"""),"Review")</f>
        <v>Review</v>
      </c>
      <c r="K29" s="5"/>
      <c r="L29" s="5"/>
      <c r="M29" s="5"/>
    </row>
    <row r="30">
      <c r="A30" s="5">
        <f>IFERROR(__xludf.DUMMYFUNCTION("""COMPUTED_VALUE"""),1375.0)</f>
        <v>1375</v>
      </c>
      <c r="B30" s="5" t="str">
        <f>IFERROR(__xludf.DUMMYFUNCTION("""COMPUTED_VALUE"""),"[Anonymized]")</f>
        <v>[Anonymized]</v>
      </c>
      <c r="C30" s="5" t="str">
        <f>IFERROR(__xludf.DUMMYFUNCTION("""COMPUTED_VALUE"""),"[Anonymized]")</f>
        <v>[Anonymized]</v>
      </c>
      <c r="D30" s="5" t="str">
        <f>IFERROR(__xludf.DUMMYFUNCTION("""COMPUTED_VALUE"""),"Thematic Collection")</f>
        <v>Thematic Collection</v>
      </c>
      <c r="E30" s="5"/>
      <c r="F30" s="5" t="str">
        <f>IFERROR(__xludf.DUMMYFUNCTION("""COMPUTED_VALUE"""),"Innovation and STS")</f>
        <v>Innovation and STS</v>
      </c>
      <c r="G30" s="97">
        <f>IFERROR(__xludf.DUMMYFUNCTION("""COMPUTED_VALUE"""),44530.0)</f>
        <v>44530</v>
      </c>
      <c r="H30" s="5" t="str">
        <f>IFERROR(__xludf.DUMMYFUNCTION("""COMPUTED_VALUE"""),"[Anonymized]")</f>
        <v>[Anonymized]</v>
      </c>
      <c r="I30" s="5" t="str">
        <f>IFERROR(__xludf.DUMMYFUNCTION("""COMPUTED_VALUE"""),"[Anonymized]")</f>
        <v>[Anonymized]</v>
      </c>
      <c r="J30" s="5" t="str">
        <f>IFERROR(__xludf.DUMMYFUNCTION("""COMPUTED_VALUE"""),"Review")</f>
        <v>Review</v>
      </c>
      <c r="K30" s="5"/>
      <c r="L30" s="5"/>
      <c r="M30" s="5"/>
    </row>
    <row r="31">
      <c r="A31" s="5">
        <f>IFERROR(__xludf.DUMMYFUNCTION("""COMPUTED_VALUE"""),1395.0)</f>
        <v>1395</v>
      </c>
      <c r="B31" s="5" t="str">
        <f>IFERROR(__xludf.DUMMYFUNCTION("""COMPUTED_VALUE"""),"[Anonymized]")</f>
        <v>[Anonymized]</v>
      </c>
      <c r="C31" s="5" t="str">
        <f>IFERROR(__xludf.DUMMYFUNCTION("""COMPUTED_VALUE"""),"[Anonymized]")</f>
        <v>[Anonymized]</v>
      </c>
      <c r="D31" s="5" t="str">
        <f>IFERROR(__xludf.DUMMYFUNCTION("""COMPUTED_VALUE"""),"Thematic Collection")</f>
        <v>Thematic Collection</v>
      </c>
      <c r="E31" s="5"/>
      <c r="F31" s="5" t="str">
        <f>IFERROR(__xludf.DUMMYFUNCTION("""COMPUTED_VALUE"""),"Innovation and STS")</f>
        <v>Innovation and STS</v>
      </c>
      <c r="G31" s="97">
        <f>IFERROR(__xludf.DUMMYFUNCTION("""COMPUTED_VALUE"""),44541.0)</f>
        <v>44541</v>
      </c>
      <c r="H31" s="5" t="str">
        <f>IFERROR(__xludf.DUMMYFUNCTION("""COMPUTED_VALUE"""),"[Anonymized]")</f>
        <v>[Anonymized]</v>
      </c>
      <c r="I31" s="5" t="str">
        <f>IFERROR(__xludf.DUMMYFUNCTION("""COMPUTED_VALUE"""),"[Anonymized]")</f>
        <v>[Anonymized]</v>
      </c>
      <c r="J31" s="5" t="str">
        <f>IFERROR(__xludf.DUMMYFUNCTION("""COMPUTED_VALUE"""),"Review")</f>
        <v>Review</v>
      </c>
      <c r="K31" s="5" t="str">
        <f>IFERROR(__xludf.DUMMYFUNCTION("""COMPUTED_VALUE"""),"Revisions Required")</f>
        <v>Revisions Required</v>
      </c>
      <c r="L31" s="5"/>
      <c r="M31" s="5"/>
    </row>
    <row r="32">
      <c r="A32" s="5">
        <f>IFERROR(__xludf.DUMMYFUNCTION("""COMPUTED_VALUE"""),1377.0)</f>
        <v>1377</v>
      </c>
      <c r="B32" s="5" t="str">
        <f>IFERROR(__xludf.DUMMYFUNCTION("""COMPUTED_VALUE"""),"[Anonymized]")</f>
        <v>[Anonymized]</v>
      </c>
      <c r="C32" s="5" t="str">
        <f>IFERROR(__xludf.DUMMYFUNCTION("""COMPUTED_VALUE"""),"[Anonymized]")</f>
        <v>[Anonymized]</v>
      </c>
      <c r="D32" s="5" t="str">
        <f>IFERROR(__xludf.DUMMYFUNCTION("""COMPUTED_VALUE"""),"Perspectives")</f>
        <v>Perspectives</v>
      </c>
      <c r="E32" s="5"/>
      <c r="F32" s="5"/>
      <c r="G32" s="97">
        <f>IFERROR(__xludf.DUMMYFUNCTION("""COMPUTED_VALUE"""),44530.0)</f>
        <v>44530</v>
      </c>
      <c r="H32" s="5" t="str">
        <f>IFERROR(__xludf.DUMMYFUNCTION("""COMPUTED_VALUE"""),"[Anonymized]")</f>
        <v>[Anonymized]</v>
      </c>
      <c r="I32" s="5" t="str">
        <f>IFERROR(__xludf.DUMMYFUNCTION("""COMPUTED_VALUE"""),"[Anonymized]")</f>
        <v>[Anonymized]</v>
      </c>
      <c r="J32" s="5" t="str">
        <f>IFERROR(__xludf.DUMMYFUNCTION("""COMPUTED_VALUE"""),"Review")</f>
        <v>Review</v>
      </c>
      <c r="K32" s="5" t="str">
        <f>IFERROR(__xludf.DUMMYFUNCTION("""COMPUTED_VALUE"""),"With authors")</f>
        <v>With authors</v>
      </c>
      <c r="L32" s="5"/>
      <c r="M32" s="5"/>
    </row>
    <row r="33">
      <c r="A33" s="5">
        <f>IFERROR(__xludf.DUMMYFUNCTION("""COMPUTED_VALUE"""),1381.0)</f>
        <v>1381</v>
      </c>
      <c r="B33" s="5" t="str">
        <f>IFERROR(__xludf.DUMMYFUNCTION("""COMPUTED_VALUE"""),"[Anonymized]")</f>
        <v>[Anonymized]</v>
      </c>
      <c r="C33" s="5" t="str">
        <f>IFERROR(__xludf.DUMMYFUNCTION("""COMPUTED_VALUE"""),"[Anonymized]")</f>
        <v>[Anonymized]</v>
      </c>
      <c r="D33" s="5" t="str">
        <f>IFERROR(__xludf.DUMMYFUNCTION("""COMPUTED_VALUE"""),"Perspectives")</f>
        <v>Perspectives</v>
      </c>
      <c r="E33" s="5"/>
      <c r="F33" s="5"/>
      <c r="G33" s="97">
        <f>IFERROR(__xludf.DUMMYFUNCTION("""COMPUTED_VALUE"""),44535.0)</f>
        <v>44535</v>
      </c>
      <c r="H33" s="5" t="str">
        <f>IFERROR(__xludf.DUMMYFUNCTION("""COMPUTED_VALUE"""),"[Anonymized]")</f>
        <v>[Anonymized]</v>
      </c>
      <c r="I33" s="5" t="str">
        <f>IFERROR(__xludf.DUMMYFUNCTION("""COMPUTED_VALUE"""),"[Anonymized]")</f>
        <v>[Anonymized]</v>
      </c>
      <c r="J33" s="5" t="str">
        <f>IFERROR(__xludf.DUMMYFUNCTION("""COMPUTED_VALUE"""),"Review")</f>
        <v>Review</v>
      </c>
      <c r="K33" s="5" t="str">
        <f>IFERROR(__xludf.DUMMYFUNCTION("""COMPUTED_VALUE"""),"With authors")</f>
        <v>With authors</v>
      </c>
      <c r="L33" s="5"/>
      <c r="M33" s="5"/>
    </row>
    <row r="34">
      <c r="A34" s="5">
        <f>IFERROR(__xludf.DUMMYFUNCTION("""COMPUTED_VALUE"""),1403.0)</f>
        <v>1403</v>
      </c>
      <c r="B34" s="5" t="str">
        <f>IFERROR(__xludf.DUMMYFUNCTION("""COMPUTED_VALUE"""),"[Anonymized]")</f>
        <v>[Anonymized]</v>
      </c>
      <c r="C34" s="5" t="str">
        <f>IFERROR(__xludf.DUMMYFUNCTION("""COMPUTED_VALUE"""),"[Anonymized]")</f>
        <v>[Anonymized]</v>
      </c>
      <c r="D34" s="5" t="str">
        <f>IFERROR(__xludf.DUMMYFUNCTION("""COMPUTED_VALUE"""),"Thematic Collection")</f>
        <v>Thematic Collection</v>
      </c>
      <c r="E34" s="5"/>
      <c r="F34" s="5" t="str">
        <f>IFERROR(__xludf.DUMMYFUNCTION("""COMPUTED_VALUE"""),"Standards and their Containers")</f>
        <v>Standards and their Containers</v>
      </c>
      <c r="G34" s="98">
        <f>IFERROR(__xludf.DUMMYFUNCTION("""COMPUTED_VALUE"""),44553.0)</f>
        <v>44553</v>
      </c>
      <c r="H34" s="5" t="str">
        <f>IFERROR(__xludf.DUMMYFUNCTION("""COMPUTED_VALUE"""),"[Anonymized]")</f>
        <v>[Anonymized]</v>
      </c>
      <c r="I34" s="5" t="str">
        <f>IFERROR(__xludf.DUMMYFUNCTION("""COMPUTED_VALUE"""),"[Anonymized]")</f>
        <v>[Anonymized]</v>
      </c>
      <c r="J34" s="5" t="str">
        <f>IFERROR(__xludf.DUMMYFUNCTION("""COMPUTED_VALUE"""),"Review")</f>
        <v>Review</v>
      </c>
      <c r="K34" s="5"/>
      <c r="L34" s="5"/>
      <c r="M34" s="5"/>
    </row>
    <row r="35">
      <c r="A35" s="5">
        <f>IFERROR(__xludf.DUMMYFUNCTION("""COMPUTED_VALUE"""),1413.0)</f>
        <v>1413</v>
      </c>
      <c r="B35" s="5" t="str">
        <f>IFERROR(__xludf.DUMMYFUNCTION("""COMPUTED_VALUE"""),"[Anonymized]")</f>
        <v>[Anonymized]</v>
      </c>
      <c r="C35" s="5" t="str">
        <f>IFERROR(__xludf.DUMMYFUNCTION("""COMPUTED_VALUE"""),"[Anonymized]")</f>
        <v>[Anonymized]</v>
      </c>
      <c r="D35" s="5" t="str">
        <f>IFERROR(__xludf.DUMMYFUNCTION("""COMPUTED_VALUE"""),"Thematic Collection")</f>
        <v>Thematic Collection</v>
      </c>
      <c r="E35" s="5"/>
      <c r="F35" s="5" t="str">
        <f>IFERROR(__xludf.DUMMYFUNCTION("""COMPUTED_VALUE"""),"Standards and their Containers")</f>
        <v>Standards and their Containers</v>
      </c>
      <c r="G35" s="97">
        <f>IFERROR(__xludf.DUMMYFUNCTION("""COMPUTED_VALUE"""),44557.0)</f>
        <v>44557</v>
      </c>
      <c r="H35" s="5" t="str">
        <f>IFERROR(__xludf.DUMMYFUNCTION("""COMPUTED_VALUE"""),"[Anonymized]")</f>
        <v>[Anonymized]</v>
      </c>
      <c r="I35" s="5" t="str">
        <f>IFERROR(__xludf.DUMMYFUNCTION("""COMPUTED_VALUE"""),"[Anonymized]")</f>
        <v>[Anonymized]</v>
      </c>
      <c r="J35" s="5" t="str">
        <f>IFERROR(__xludf.DUMMYFUNCTION("""COMPUTED_VALUE"""),"Review")</f>
        <v>Review</v>
      </c>
      <c r="K35" s="5"/>
      <c r="L35" s="5"/>
      <c r="M35" s="5"/>
    </row>
    <row r="36">
      <c r="A36" s="5">
        <f>IFERROR(__xludf.DUMMYFUNCTION("""COMPUTED_VALUE"""),1419.0)</f>
        <v>1419</v>
      </c>
      <c r="B36" s="5" t="str">
        <f>IFERROR(__xludf.DUMMYFUNCTION("""COMPUTED_VALUE"""),"[Anonymized]")</f>
        <v>[Anonymized]</v>
      </c>
      <c r="C36" s="5" t="str">
        <f>IFERROR(__xludf.DUMMYFUNCTION("""COMPUTED_VALUE"""),"[Anonymized]")</f>
        <v>[Anonymized]</v>
      </c>
      <c r="D36" s="5" t="str">
        <f>IFERROR(__xludf.DUMMYFUNCTION("""COMPUTED_VALUE"""),"Thematic Collection")</f>
        <v>Thematic Collection</v>
      </c>
      <c r="E36" s="5"/>
      <c r="F36" s="5" t="str">
        <f>IFERROR(__xludf.DUMMYFUNCTION("""COMPUTED_VALUE"""),"Standards and their Containers")</f>
        <v>Standards and their Containers</v>
      </c>
      <c r="G36" s="97">
        <f>IFERROR(__xludf.DUMMYFUNCTION("""COMPUTED_VALUE"""),44561.0)</f>
        <v>44561</v>
      </c>
      <c r="H36" s="5" t="str">
        <f>IFERROR(__xludf.DUMMYFUNCTION("""COMPUTED_VALUE"""),"[Anonymized]")</f>
        <v>[Anonymized]</v>
      </c>
      <c r="I36" s="5" t="str">
        <f>IFERROR(__xludf.DUMMYFUNCTION("""COMPUTED_VALUE"""),"[Anonymized]")</f>
        <v>[Anonymized]</v>
      </c>
      <c r="J36" s="5" t="str">
        <f>IFERROR(__xludf.DUMMYFUNCTION("""COMPUTED_VALUE"""),"Review")</f>
        <v>Review</v>
      </c>
      <c r="K36" s="5"/>
      <c r="L36" s="5"/>
      <c r="M36" s="5"/>
    </row>
    <row r="37">
      <c r="A37" s="5">
        <f>IFERROR(__xludf.DUMMYFUNCTION("""COMPUTED_VALUE"""),1421.0)</f>
        <v>1421</v>
      </c>
      <c r="B37" s="5" t="str">
        <f>IFERROR(__xludf.DUMMYFUNCTION("""COMPUTED_VALUE"""),"[Anonymized]")</f>
        <v>[Anonymized]</v>
      </c>
      <c r="C37" s="5" t="str">
        <f>IFERROR(__xludf.DUMMYFUNCTION("""COMPUTED_VALUE"""),"[Anonymized]")</f>
        <v>[Anonymized]</v>
      </c>
      <c r="D37" s="5" t="str">
        <f>IFERROR(__xludf.DUMMYFUNCTION("""COMPUTED_VALUE"""),"Thematic Collection")</f>
        <v>Thematic Collection</v>
      </c>
      <c r="E37" s="5"/>
      <c r="F37" s="5" t="str">
        <f>IFERROR(__xludf.DUMMYFUNCTION("""COMPUTED_VALUE"""),"Standards and their Containers")</f>
        <v>Standards and their Containers</v>
      </c>
      <c r="G37" s="97">
        <f>IFERROR(__xludf.DUMMYFUNCTION("""COMPUTED_VALUE"""),44561.0)</f>
        <v>44561</v>
      </c>
      <c r="H37" s="5" t="str">
        <f>IFERROR(__xludf.DUMMYFUNCTION("""COMPUTED_VALUE"""),"[Anonymized]")</f>
        <v>[Anonymized]</v>
      </c>
      <c r="I37" s="5" t="str">
        <f>IFERROR(__xludf.DUMMYFUNCTION("""COMPUTED_VALUE"""),"[Anonymized]")</f>
        <v>[Anonymized]</v>
      </c>
      <c r="J37" s="5" t="str">
        <f>IFERROR(__xludf.DUMMYFUNCTION("""COMPUTED_VALUE"""),"Review")</f>
        <v>Review</v>
      </c>
      <c r="K37" s="5"/>
      <c r="L37" s="5"/>
      <c r="M37" s="5"/>
    </row>
    <row r="38">
      <c r="A38" s="5">
        <f>IFERROR(__xludf.DUMMYFUNCTION("""COMPUTED_VALUE"""),1445.0)</f>
        <v>1445</v>
      </c>
      <c r="B38" s="5" t="str">
        <f>IFERROR(__xludf.DUMMYFUNCTION("""COMPUTED_VALUE"""),"[Anonymized]")</f>
        <v>[Anonymized]</v>
      </c>
      <c r="C38" s="5" t="str">
        <f>IFERROR(__xludf.DUMMYFUNCTION("""COMPUTED_VALUE"""),"[Anonymized]")</f>
        <v>[Anonymized]</v>
      </c>
      <c r="D38" s="5" t="str">
        <f>IFERROR(__xludf.DUMMYFUNCTION("""COMPUTED_VALUE"""),"Thematic Collection")</f>
        <v>Thematic Collection</v>
      </c>
      <c r="E38" s="5"/>
      <c r="F38" s="5" t="str">
        <f>IFERROR(__xludf.DUMMYFUNCTION("""COMPUTED_VALUE"""),"Standards and their Containers")</f>
        <v>Standards and their Containers</v>
      </c>
      <c r="G38" s="97">
        <f>IFERROR(__xludf.DUMMYFUNCTION("""COMPUTED_VALUE"""),44574.0)</f>
        <v>44574</v>
      </c>
      <c r="H38" s="5" t="str">
        <f>IFERROR(__xludf.DUMMYFUNCTION("""COMPUTED_VALUE"""),"[Anonymized]")</f>
        <v>[Anonymized]</v>
      </c>
      <c r="I38" s="5" t="str">
        <f>IFERROR(__xludf.DUMMYFUNCTION("""COMPUTED_VALUE"""),"[Anonymized]")</f>
        <v>[Anonymized]</v>
      </c>
      <c r="J38" s="5" t="str">
        <f>IFERROR(__xludf.DUMMYFUNCTION("""COMPUTED_VALUE"""),"Review")</f>
        <v>Review</v>
      </c>
      <c r="K38" s="5"/>
      <c r="L38" s="5"/>
      <c r="M38" s="5"/>
    </row>
    <row r="39">
      <c r="A39" s="5">
        <f>IFERROR(__xludf.DUMMYFUNCTION("""COMPUTED_VALUE"""),1451.0)</f>
        <v>1451</v>
      </c>
      <c r="B39" s="5" t="str">
        <f>IFERROR(__xludf.DUMMYFUNCTION("""COMPUTED_VALUE"""),"[Anonymized]")</f>
        <v>[Anonymized]</v>
      </c>
      <c r="C39" s="5" t="str">
        <f>IFERROR(__xludf.DUMMYFUNCTION("""COMPUTED_VALUE"""),"[Anonymized]")</f>
        <v>[Anonymized]</v>
      </c>
      <c r="D39" s="5" t="str">
        <f>IFERROR(__xludf.DUMMYFUNCTION("""COMPUTED_VALUE"""),"Thematic Collection")</f>
        <v>Thematic Collection</v>
      </c>
      <c r="E39" s="5"/>
      <c r="F39" s="5" t="str">
        <f>IFERROR(__xludf.DUMMYFUNCTION("""COMPUTED_VALUE"""),"Standards and their Containers")</f>
        <v>Standards and their Containers</v>
      </c>
      <c r="G39" s="97">
        <f>IFERROR(__xludf.DUMMYFUNCTION("""COMPUTED_VALUE"""),44580.0)</f>
        <v>44580</v>
      </c>
      <c r="H39" s="5" t="str">
        <f>IFERROR(__xludf.DUMMYFUNCTION("""COMPUTED_VALUE"""),"[Anonymized]")</f>
        <v>[Anonymized]</v>
      </c>
      <c r="I39" s="5" t="str">
        <f>IFERROR(__xludf.DUMMYFUNCTION("""COMPUTED_VALUE"""),"[Anonymized]")</f>
        <v>[Anonymized]</v>
      </c>
      <c r="J39" s="5" t="str">
        <f>IFERROR(__xludf.DUMMYFUNCTION("""COMPUTED_VALUE"""),"Review")</f>
        <v>Review</v>
      </c>
      <c r="K39" s="5"/>
      <c r="L39" s="5"/>
      <c r="M39" s="5"/>
    </row>
    <row r="40">
      <c r="A40" s="5">
        <f>IFERROR(__xludf.DUMMYFUNCTION("""COMPUTED_VALUE"""),1469.0)</f>
        <v>1469</v>
      </c>
      <c r="B40" s="5" t="str">
        <f>IFERROR(__xludf.DUMMYFUNCTION("""COMPUTED_VALUE"""),"[Anonymized]")</f>
        <v>[Anonymized]</v>
      </c>
      <c r="C40" s="5" t="str">
        <f>IFERROR(__xludf.DUMMYFUNCTION("""COMPUTED_VALUE"""),"[Anonymized]")</f>
        <v>[Anonymized]</v>
      </c>
      <c r="D40" s="5" t="str">
        <f>IFERROR(__xludf.DUMMYFUNCTION("""COMPUTED_VALUE"""),"Thematic Collection")</f>
        <v>Thematic Collection</v>
      </c>
      <c r="E40" s="5"/>
      <c r="F40" s="5" t="str">
        <f>IFERROR(__xludf.DUMMYFUNCTION("""COMPUTED_VALUE"""),"Standards and their Containers")</f>
        <v>Standards and their Containers</v>
      </c>
      <c r="G40" s="97">
        <f>IFERROR(__xludf.DUMMYFUNCTION("""COMPUTED_VALUE"""),44587.0)</f>
        <v>44587</v>
      </c>
      <c r="H40" s="5" t="str">
        <f>IFERROR(__xludf.DUMMYFUNCTION("""COMPUTED_VALUE"""),"[Anonymized]")</f>
        <v>[Anonymized]</v>
      </c>
      <c r="I40" s="5" t="str">
        <f>IFERROR(__xludf.DUMMYFUNCTION("""COMPUTED_VALUE"""),"[Anonymized]")</f>
        <v>[Anonymized]</v>
      </c>
      <c r="J40" s="5" t="str">
        <f>IFERROR(__xludf.DUMMYFUNCTION("""COMPUTED_VALUE"""),"Review")</f>
        <v>Review</v>
      </c>
      <c r="K40" s="5"/>
      <c r="L40" s="5"/>
      <c r="M40" s="5"/>
    </row>
    <row r="41">
      <c r="A41" s="5">
        <f>IFERROR(__xludf.DUMMYFUNCTION("""COMPUTED_VALUE"""),1491.0)</f>
        <v>1491</v>
      </c>
      <c r="B41" s="5" t="str">
        <f>IFERROR(__xludf.DUMMYFUNCTION("""COMPUTED_VALUE"""),"[Anonymized]")</f>
        <v>[Anonymized]</v>
      </c>
      <c r="C41" s="5" t="str">
        <f>IFERROR(__xludf.DUMMYFUNCTION("""COMPUTED_VALUE"""),"[Anonymized]")</f>
        <v>[Anonymized]</v>
      </c>
      <c r="D41" s="5" t="str">
        <f>IFERROR(__xludf.DUMMYFUNCTION("""COMPUTED_VALUE"""),"Thematic Collection")</f>
        <v>Thematic Collection</v>
      </c>
      <c r="E41" s="5"/>
      <c r="F41" s="5" t="str">
        <f>IFERROR(__xludf.DUMMYFUNCTION("""COMPUTED_VALUE"""),"STS Pedagogies")</f>
        <v>STS Pedagogies</v>
      </c>
      <c r="G41" s="97">
        <f>IFERROR(__xludf.DUMMYFUNCTION("""COMPUTED_VALUE"""),44602.0)</f>
        <v>44602</v>
      </c>
      <c r="H41" s="5" t="str">
        <f>IFERROR(__xludf.DUMMYFUNCTION("""COMPUTED_VALUE"""),"[Anonymized]")</f>
        <v>[Anonymized]</v>
      </c>
      <c r="I41" s="5" t="str">
        <f>IFERROR(__xludf.DUMMYFUNCTION("""COMPUTED_VALUE"""),"[Anonymized]")</f>
        <v>[Anonymized]</v>
      </c>
      <c r="J41" s="5" t="str">
        <f>IFERROR(__xludf.DUMMYFUNCTION("""COMPUTED_VALUE"""),"Review")</f>
        <v>Review</v>
      </c>
      <c r="K41" s="5" t="str">
        <f>IFERROR(__xludf.DUMMYFUNCTION("""COMPUTED_VALUE"""),"Authors will submit by end of July")</f>
        <v>Authors will submit by end of July</v>
      </c>
      <c r="L41" s="5"/>
      <c r="M41" s="5"/>
    </row>
    <row r="42">
      <c r="A42" s="5">
        <f>IFERROR(__xludf.DUMMYFUNCTION("""COMPUTED_VALUE"""),1517.0)</f>
        <v>1517</v>
      </c>
      <c r="B42" s="5" t="str">
        <f>IFERROR(__xludf.DUMMYFUNCTION("""COMPUTED_VALUE"""),"[Anonymized]")</f>
        <v>[Anonymized]</v>
      </c>
      <c r="C42" s="5" t="str">
        <f>IFERROR(__xludf.DUMMYFUNCTION("""COMPUTED_VALUE"""),"[Anonymized]")</f>
        <v>[Anonymized]</v>
      </c>
      <c r="D42" s="5" t="str">
        <f>IFERROR(__xludf.DUMMYFUNCTION("""COMPUTED_VALUE"""),"Thematic Collection")</f>
        <v>Thematic Collection</v>
      </c>
      <c r="E42" s="5"/>
      <c r="F42" s="5" t="str">
        <f>IFERROR(__xludf.DUMMYFUNCTION("""COMPUTED_VALUE"""),"Microbes and STS")</f>
        <v>Microbes and STS</v>
      </c>
      <c r="G42" s="5"/>
      <c r="H42" s="5" t="str">
        <f>IFERROR(__xludf.DUMMYFUNCTION("""COMPUTED_VALUE"""),"[Anonymized]")</f>
        <v>[Anonymized]</v>
      </c>
      <c r="I42" s="5" t="str">
        <f>IFERROR(__xludf.DUMMYFUNCTION("""COMPUTED_VALUE"""),"[Anonymized]")</f>
        <v>[Anonymized]</v>
      </c>
      <c r="J42" s="5" t="str">
        <f>IFERROR(__xludf.DUMMYFUNCTION("""COMPUTED_VALUE"""),"Review")</f>
        <v>Review</v>
      </c>
      <c r="K42" s="5"/>
      <c r="L42" s="5"/>
      <c r="M42" s="5"/>
    </row>
    <row r="43">
      <c r="A43" s="5">
        <f>IFERROR(__xludf.DUMMYFUNCTION("""COMPUTED_VALUE"""),1547.0)</f>
        <v>1547</v>
      </c>
      <c r="B43" s="5" t="str">
        <f>IFERROR(__xludf.DUMMYFUNCTION("""COMPUTED_VALUE"""),"[Anonymized]")</f>
        <v>[Anonymized]</v>
      </c>
      <c r="C43" s="5" t="str">
        <f>IFERROR(__xludf.DUMMYFUNCTION("""COMPUTED_VALUE"""),"[Anonymized]")</f>
        <v>[Anonymized]</v>
      </c>
      <c r="D43" s="5" t="str">
        <f>IFERROR(__xludf.DUMMYFUNCTION("""COMPUTED_VALUE"""),"Thematic Collection")</f>
        <v>Thematic Collection</v>
      </c>
      <c r="E43" s="5"/>
      <c r="F43" s="5" t="str">
        <f>IFERROR(__xludf.DUMMYFUNCTION("""COMPUTED_VALUE"""),"Microbes and STS")</f>
        <v>Microbes and STS</v>
      </c>
      <c r="G43" s="98">
        <f>IFERROR(__xludf.DUMMYFUNCTION("""COMPUTED_VALUE"""),44624.0)</f>
        <v>44624</v>
      </c>
      <c r="H43" s="5" t="str">
        <f>IFERROR(__xludf.DUMMYFUNCTION("""COMPUTED_VALUE"""),"[Anonymized]")</f>
        <v>[Anonymized]</v>
      </c>
      <c r="I43" s="5" t="str">
        <f>IFERROR(__xludf.DUMMYFUNCTION("""COMPUTED_VALUE"""),"[Anonymized]")</f>
        <v>[Anonymized]</v>
      </c>
      <c r="J43" s="5" t="str">
        <f>IFERROR(__xludf.DUMMYFUNCTION("""COMPUTED_VALUE"""),"Review")</f>
        <v>Review</v>
      </c>
      <c r="K43" s="5"/>
      <c r="L43" s="5"/>
      <c r="M43" s="5"/>
    </row>
    <row r="44">
      <c r="A44" s="5">
        <f>IFERROR(__xludf.DUMMYFUNCTION("""COMPUTED_VALUE"""),1555.0)</f>
        <v>1555</v>
      </c>
      <c r="B44" s="5" t="str">
        <f>IFERROR(__xludf.DUMMYFUNCTION("""COMPUTED_VALUE"""),"[Anonymized]")</f>
        <v>[Anonymized]</v>
      </c>
      <c r="C44" s="5" t="str">
        <f>IFERROR(__xludf.DUMMYFUNCTION("""COMPUTED_VALUE"""),"[Anonymized]")</f>
        <v>[Anonymized]</v>
      </c>
      <c r="D44" s="5" t="str">
        <f>IFERROR(__xludf.DUMMYFUNCTION("""COMPUTED_VALUE"""),"Thematic Collection")</f>
        <v>Thematic Collection</v>
      </c>
      <c r="E44" s="5"/>
      <c r="F44" s="5" t="str">
        <f>IFERROR(__xludf.DUMMYFUNCTION("""COMPUTED_VALUE"""),"Microbes and STS")</f>
        <v>Microbes and STS</v>
      </c>
      <c r="G44" s="98">
        <f>IFERROR(__xludf.DUMMYFUNCTION("""COMPUTED_VALUE"""),44626.0)</f>
        <v>44626</v>
      </c>
      <c r="H44" s="5" t="str">
        <f>IFERROR(__xludf.DUMMYFUNCTION("""COMPUTED_VALUE"""),"[Anonymized]")</f>
        <v>[Anonymized]</v>
      </c>
      <c r="I44" s="5" t="str">
        <f>IFERROR(__xludf.DUMMYFUNCTION("""COMPUTED_VALUE"""),"[Anonymized]")</f>
        <v>[Anonymized]</v>
      </c>
      <c r="J44" s="5" t="str">
        <f>IFERROR(__xludf.DUMMYFUNCTION("""COMPUTED_VALUE"""),"Review")</f>
        <v>Review</v>
      </c>
      <c r="K44" s="5"/>
      <c r="L44" s="5"/>
      <c r="M44" s="5"/>
    </row>
    <row r="45">
      <c r="A45" s="5">
        <f>IFERROR(__xludf.DUMMYFUNCTION("""COMPUTED_VALUE"""),1529.0)</f>
        <v>1529</v>
      </c>
      <c r="B45" s="5" t="str">
        <f>IFERROR(__xludf.DUMMYFUNCTION("""COMPUTED_VALUE"""),"[Anonymized]")</f>
        <v>[Anonymized]</v>
      </c>
      <c r="C45" s="5" t="str">
        <f>IFERROR(__xludf.DUMMYFUNCTION("""COMPUTED_VALUE"""),"[Anonymized]")</f>
        <v>[Anonymized]</v>
      </c>
      <c r="D45" s="5" t="str">
        <f>IFERROR(__xludf.DUMMYFUNCTION("""COMPUTED_VALUE"""),"Thematic Collection")</f>
        <v>Thematic Collection</v>
      </c>
      <c r="E45" s="5"/>
      <c r="F45" s="5" t="str">
        <f>IFERROR(__xludf.DUMMYFUNCTION("""COMPUTED_VALUE"""),"Microbes and STS")</f>
        <v>Microbes and STS</v>
      </c>
      <c r="G45" s="98">
        <f>IFERROR(__xludf.DUMMYFUNCTION("""COMPUTED_VALUE"""),44626.0)</f>
        <v>44626</v>
      </c>
      <c r="H45" s="5" t="str">
        <f>IFERROR(__xludf.DUMMYFUNCTION("""COMPUTED_VALUE"""),"[Anonymized]")</f>
        <v>[Anonymized]</v>
      </c>
      <c r="I45" s="5" t="str">
        <f>IFERROR(__xludf.DUMMYFUNCTION("""COMPUTED_VALUE"""),"[Anonymized]")</f>
        <v>[Anonymized]</v>
      </c>
      <c r="J45" s="5" t="str">
        <f>IFERROR(__xludf.DUMMYFUNCTION("""COMPUTED_VALUE"""),"Review")</f>
        <v>Review</v>
      </c>
      <c r="K45" s="5"/>
      <c r="L45" s="5"/>
      <c r="M45" s="5"/>
    </row>
    <row r="46">
      <c r="A46" s="5">
        <f>IFERROR(__xludf.DUMMYFUNCTION("""COMPUTED_VALUE"""),1577.0)</f>
        <v>1577</v>
      </c>
      <c r="B46" s="5" t="str">
        <f>IFERROR(__xludf.DUMMYFUNCTION("""COMPUTED_VALUE"""),"[Anonymized]")</f>
        <v>[Anonymized]</v>
      </c>
      <c r="C46" s="5" t="str">
        <f>IFERROR(__xludf.DUMMYFUNCTION("""COMPUTED_VALUE"""),"[Anonymized]")</f>
        <v>[Anonymized]</v>
      </c>
      <c r="D46" s="5" t="str">
        <f>IFERROR(__xludf.DUMMYFUNCTION("""COMPUTED_VALUE"""),"Thematic Collection")</f>
        <v>Thematic Collection</v>
      </c>
      <c r="E46" s="5"/>
      <c r="F46" s="5" t="str">
        <f>IFERROR(__xludf.DUMMYFUNCTION("""COMPUTED_VALUE"""),"Places/Spaces of STS")</f>
        <v>Places/Spaces of STS</v>
      </c>
      <c r="G46" s="98">
        <f>IFERROR(__xludf.DUMMYFUNCTION("""COMPUTED_VALUE"""),44641.0)</f>
        <v>44641</v>
      </c>
      <c r="H46" s="5" t="str">
        <f>IFERROR(__xludf.DUMMYFUNCTION("""COMPUTED_VALUE"""),"[Anonymized]")</f>
        <v>[Anonymized]</v>
      </c>
      <c r="I46" s="5" t="str">
        <f>IFERROR(__xludf.DUMMYFUNCTION("""COMPUTED_VALUE"""),"[Anonymized]")</f>
        <v>[Anonymized]</v>
      </c>
      <c r="J46" s="5" t="str">
        <f>IFERROR(__xludf.DUMMYFUNCTION("""COMPUTED_VALUE"""),"Review")</f>
        <v>Review</v>
      </c>
      <c r="K46" s="5"/>
      <c r="L46" s="5"/>
      <c r="M46" s="5"/>
    </row>
    <row r="47">
      <c r="A47" s="5">
        <f>IFERROR(__xludf.DUMMYFUNCTION("""COMPUTED_VALUE"""),1595.0)</f>
        <v>1595</v>
      </c>
      <c r="B47" s="5" t="str">
        <f>IFERROR(__xludf.DUMMYFUNCTION("""COMPUTED_VALUE"""),"[Anonymized]")</f>
        <v>[Anonymized]</v>
      </c>
      <c r="C47" s="5" t="str">
        <f>IFERROR(__xludf.DUMMYFUNCTION("""COMPUTED_VALUE"""),"[Anonymized]")</f>
        <v>[Anonymized]</v>
      </c>
      <c r="D47" s="5" t="str">
        <f>IFERROR(__xludf.DUMMYFUNCTION("""COMPUTED_VALUE"""),"Thematic Collection")</f>
        <v>Thematic Collection</v>
      </c>
      <c r="E47" s="5"/>
      <c r="F47" s="5" t="str">
        <f>IFERROR(__xludf.DUMMYFUNCTION("""COMPUTED_VALUE"""),"STS Pedagoies")</f>
        <v>STS Pedagoies</v>
      </c>
      <c r="G47" s="99">
        <f>IFERROR(__xludf.DUMMYFUNCTION("""COMPUTED_VALUE"""),44656.0)</f>
        <v>44656</v>
      </c>
      <c r="H47" s="5" t="str">
        <f>IFERROR(__xludf.DUMMYFUNCTION("""COMPUTED_VALUE"""),"[Anonymized]")</f>
        <v>[Anonymized]</v>
      </c>
      <c r="I47" s="5" t="str">
        <f>IFERROR(__xludf.DUMMYFUNCTION("""COMPUTED_VALUE"""),"[Anonymized]")</f>
        <v>[Anonymized]</v>
      </c>
      <c r="J47" s="5" t="str">
        <f>IFERROR(__xludf.DUMMYFUNCTION("""COMPUTED_VALUE"""),"Pre-review")</f>
        <v>Pre-review</v>
      </c>
      <c r="K47" s="5" t="str">
        <f>IFERROR(__xludf.DUMMYFUNCTION("""COMPUTED_VALUE"""),"Awaiting submission of full set")</f>
        <v>Awaiting submission of full set</v>
      </c>
      <c r="L47" s="5"/>
      <c r="M47" s="5"/>
    </row>
    <row r="48">
      <c r="A48" s="5">
        <f>IFERROR(__xludf.DUMMYFUNCTION("""COMPUTED_VALUE"""),1605.0)</f>
        <v>1605</v>
      </c>
      <c r="B48" s="5" t="str">
        <f>IFERROR(__xludf.DUMMYFUNCTION("""COMPUTED_VALUE"""),"[Anonymized]")</f>
        <v>[Anonymized]</v>
      </c>
      <c r="C48" s="5" t="str">
        <f>IFERROR(__xludf.DUMMYFUNCTION("""COMPUTED_VALUE"""),"[Anonymized]")</f>
        <v>[Anonymized]</v>
      </c>
      <c r="D48" s="5" t="str">
        <f>IFERROR(__xludf.DUMMYFUNCTION("""COMPUTED_VALUE"""),"Thematic Collection")</f>
        <v>Thematic Collection</v>
      </c>
      <c r="E48" s="5"/>
      <c r="F48" s="5" t="str">
        <f>IFERROR(__xludf.DUMMYFUNCTION("""COMPUTED_VALUE"""),"Microbes and STS")</f>
        <v>Microbes and STS</v>
      </c>
      <c r="G48" s="98">
        <f>IFERROR(__xludf.DUMMYFUNCTION("""COMPUTED_VALUE"""),44662.0)</f>
        <v>44662</v>
      </c>
      <c r="H48" s="5" t="str">
        <f>IFERROR(__xludf.DUMMYFUNCTION("""COMPUTED_VALUE"""),"[Anonymized]")</f>
        <v>[Anonymized]</v>
      </c>
      <c r="I48" s="5" t="str">
        <f>IFERROR(__xludf.DUMMYFUNCTION("""COMPUTED_VALUE"""),"[Anonymized]")</f>
        <v>[Anonymized]</v>
      </c>
      <c r="J48" s="5" t="str">
        <f>IFERROR(__xludf.DUMMYFUNCTION("""COMPUTED_VALUE"""),"Review")</f>
        <v>Review</v>
      </c>
      <c r="K48" s="5"/>
      <c r="L48" s="5"/>
      <c r="M48" s="5"/>
    </row>
    <row r="49">
      <c r="A49" s="5">
        <f>IFERROR(__xludf.DUMMYFUNCTION("""COMPUTED_VALUE"""),1611.0)</f>
        <v>1611</v>
      </c>
      <c r="B49" s="5" t="str">
        <f>IFERROR(__xludf.DUMMYFUNCTION("""COMPUTED_VALUE"""),"[Anonymized]")</f>
        <v>[Anonymized]</v>
      </c>
      <c r="C49" s="5" t="str">
        <f>IFERROR(__xludf.DUMMYFUNCTION("""COMPUTED_VALUE"""),"[Anonymized]")</f>
        <v>[Anonymized]</v>
      </c>
      <c r="D49" s="5" t="str">
        <f>IFERROR(__xludf.DUMMYFUNCTION("""COMPUTED_VALUE"""),"Thematic Collection")</f>
        <v>Thematic Collection</v>
      </c>
      <c r="E49" s="5"/>
      <c r="F49" s="5" t="str">
        <f>IFERROR(__xludf.DUMMYFUNCTION("""COMPUTED_VALUE"""),"Microbes and STS")</f>
        <v>Microbes and STS</v>
      </c>
      <c r="G49" s="98">
        <f>IFERROR(__xludf.DUMMYFUNCTION("""COMPUTED_VALUE"""),44670.0)</f>
        <v>44670</v>
      </c>
      <c r="H49" s="5" t="str">
        <f>IFERROR(__xludf.DUMMYFUNCTION("""COMPUTED_VALUE"""),"[Anonymized]")</f>
        <v>[Anonymized]</v>
      </c>
      <c r="I49" s="5" t="str">
        <f>IFERROR(__xludf.DUMMYFUNCTION("""COMPUTED_VALUE"""),"[Anonymized]")</f>
        <v>[Anonymized]</v>
      </c>
      <c r="J49" s="5" t="str">
        <f>IFERROR(__xludf.DUMMYFUNCTION("""COMPUTED_VALUE"""),"Review")</f>
        <v>Review</v>
      </c>
      <c r="K49" s="5"/>
      <c r="L49" s="5"/>
      <c r="M49" s="5"/>
    </row>
    <row r="50">
      <c r="A50" s="5">
        <f>IFERROR(__xludf.DUMMYFUNCTION("""COMPUTED_VALUE"""),1627.0)</f>
        <v>1627</v>
      </c>
      <c r="B50" s="5" t="str">
        <f>IFERROR(__xludf.DUMMYFUNCTION("""COMPUTED_VALUE"""),"[Anonymized]")</f>
        <v>[Anonymized]</v>
      </c>
      <c r="C50" s="5" t="str">
        <f>IFERROR(__xludf.DUMMYFUNCTION("""COMPUTED_VALUE"""),"[Anonymized]")</f>
        <v>[Anonymized]</v>
      </c>
      <c r="D50" s="5" t="str">
        <f>IFERROR(__xludf.DUMMYFUNCTION("""COMPUTED_VALUE"""),"Thematic Collection")</f>
        <v>Thematic Collection</v>
      </c>
      <c r="E50" s="5"/>
      <c r="F50" s="5" t="str">
        <f>IFERROR(__xludf.DUMMYFUNCTION("""COMPUTED_VALUE"""),"STS Pedagoies")</f>
        <v>STS Pedagoies</v>
      </c>
      <c r="G50" s="98">
        <f>IFERROR(__xludf.DUMMYFUNCTION("""COMPUTED_VALUE"""),44677.0)</f>
        <v>44677</v>
      </c>
      <c r="H50" s="5" t="str">
        <f>IFERROR(__xludf.DUMMYFUNCTION("""COMPUTED_VALUE"""),"[Anonymized]")</f>
        <v>[Anonymized]</v>
      </c>
      <c r="I50" s="5" t="str">
        <f>IFERROR(__xludf.DUMMYFUNCTION("""COMPUTED_VALUE"""),"[Anonymized]")</f>
        <v>[Anonymized]</v>
      </c>
      <c r="J50" s="5" t="str">
        <f>IFERROR(__xludf.DUMMYFUNCTION("""COMPUTED_VALUE"""),"Pre-review")</f>
        <v>Pre-review</v>
      </c>
      <c r="K50" s="5" t="str">
        <f>IFERROR(__xludf.DUMMYFUNCTION("""COMPUTED_VALUE"""),"Awaiting submission of full set")</f>
        <v>Awaiting submission of full set</v>
      </c>
      <c r="L50" s="5"/>
      <c r="M50" s="5"/>
    </row>
    <row r="51">
      <c r="A51" s="5">
        <f>IFERROR(__xludf.DUMMYFUNCTION("""COMPUTED_VALUE"""),1637.0)</f>
        <v>1637</v>
      </c>
      <c r="B51" s="5" t="str">
        <f>IFERROR(__xludf.DUMMYFUNCTION("""COMPUTED_VALUE"""),"[Anonymized]")</f>
        <v>[Anonymized]</v>
      </c>
      <c r="C51" s="5" t="str">
        <f>IFERROR(__xludf.DUMMYFUNCTION("""COMPUTED_VALUE"""),"[Anonymized]")</f>
        <v>[Anonymized]</v>
      </c>
      <c r="D51" s="5" t="str">
        <f>IFERROR(__xludf.DUMMYFUNCTION("""COMPUTED_VALUE"""),"Research Article")</f>
        <v>Research Article</v>
      </c>
      <c r="E51" s="5"/>
      <c r="F51" s="5"/>
      <c r="G51" s="100">
        <f>IFERROR(__xludf.DUMMYFUNCTION("""COMPUTED_VALUE"""),44683.0)</f>
        <v>44683</v>
      </c>
      <c r="H51" s="5" t="str">
        <f>IFERROR(__xludf.DUMMYFUNCTION("""COMPUTED_VALUE"""),"[Anonymized]")</f>
        <v>[Anonymized]</v>
      </c>
      <c r="I51" s="5" t="str">
        <f>IFERROR(__xludf.DUMMYFUNCTION("""COMPUTED_VALUE"""),"[Anonymized]")</f>
        <v>[Anonymized]</v>
      </c>
      <c r="J51" s="5" t="str">
        <f>IFERROR(__xludf.DUMMYFUNCTION("""COMPUTED_VALUE"""),"Review")</f>
        <v>Review</v>
      </c>
      <c r="K51" s="5"/>
      <c r="L51" s="5"/>
      <c r="M51" s="5"/>
    </row>
    <row r="52">
      <c r="A52" s="5">
        <f>IFERROR(__xludf.DUMMYFUNCTION("""COMPUTED_VALUE"""),1641.0)</f>
        <v>1641</v>
      </c>
      <c r="B52" s="5" t="str">
        <f>IFERROR(__xludf.DUMMYFUNCTION("""COMPUTED_VALUE"""),"[Anonymized]")</f>
        <v>[Anonymized]</v>
      </c>
      <c r="C52" s="5" t="str">
        <f>IFERROR(__xludf.DUMMYFUNCTION("""COMPUTED_VALUE"""),"[Anonymized]")</f>
        <v>[Anonymized]</v>
      </c>
      <c r="D52" s="5" t="str">
        <f>IFERROR(__xludf.DUMMYFUNCTION("""COMPUTED_VALUE"""),"Research Article")</f>
        <v>Research Article</v>
      </c>
      <c r="E52" s="5"/>
      <c r="F52" s="5"/>
      <c r="G52" s="100">
        <f>IFERROR(__xludf.DUMMYFUNCTION("""COMPUTED_VALUE"""),44684.0)</f>
        <v>44684</v>
      </c>
      <c r="H52" s="5" t="str">
        <f>IFERROR(__xludf.DUMMYFUNCTION("""COMPUTED_VALUE"""),"[Anonymized]")</f>
        <v>[Anonymized]</v>
      </c>
      <c r="I52" s="5" t="str">
        <f>IFERROR(__xludf.DUMMYFUNCTION("""COMPUTED_VALUE"""),"[Anonymized]")</f>
        <v>[Anonymized]</v>
      </c>
      <c r="J52" s="5" t="str">
        <f>IFERROR(__xludf.DUMMYFUNCTION("""COMPUTED_VALUE"""),"Review")</f>
        <v>Review</v>
      </c>
      <c r="K52" s="5"/>
      <c r="L52" s="5"/>
      <c r="M52" s="5"/>
    </row>
    <row r="53">
      <c r="A53" s="5">
        <f>IFERROR(__xludf.DUMMYFUNCTION("""COMPUTED_VALUE"""),1661.0)</f>
        <v>1661</v>
      </c>
      <c r="B53" s="5" t="str">
        <f>IFERROR(__xludf.DUMMYFUNCTION("""COMPUTED_VALUE"""),"[Anonymized]")</f>
        <v>[Anonymized]</v>
      </c>
      <c r="C53" s="5" t="str">
        <f>IFERROR(__xludf.DUMMYFUNCTION("""COMPUTED_VALUE"""),"[Anonymized]")</f>
        <v>[Anonymized]</v>
      </c>
      <c r="D53" s="5" t="str">
        <f>IFERROR(__xludf.DUMMYFUNCTION("""COMPUTED_VALUE"""),"Research Article")</f>
        <v>Research Article</v>
      </c>
      <c r="E53" s="5"/>
      <c r="F53" s="5"/>
      <c r="G53" s="101">
        <f>IFERROR(__xludf.DUMMYFUNCTION("""COMPUTED_VALUE"""),44696.0)</f>
        <v>44696</v>
      </c>
      <c r="H53" s="5" t="str">
        <f>IFERROR(__xludf.DUMMYFUNCTION("""COMPUTED_VALUE"""),"[Anonymized]")</f>
        <v>[Anonymized]</v>
      </c>
      <c r="I53" s="5" t="str">
        <f>IFERROR(__xludf.DUMMYFUNCTION("""COMPUTED_VALUE"""),"[Anonymized]")</f>
        <v>[Anonymized]</v>
      </c>
      <c r="J53" s="5" t="str">
        <f>IFERROR(__xludf.DUMMYFUNCTION("""COMPUTED_VALUE"""),"Pre-review")</f>
        <v>Pre-review</v>
      </c>
      <c r="K53" s="5"/>
      <c r="L53" s="5"/>
      <c r="M53" s="5"/>
    </row>
    <row r="54">
      <c r="A54" s="5">
        <f>IFERROR(__xludf.DUMMYFUNCTION("""COMPUTED_VALUE"""),1703.0)</f>
        <v>1703</v>
      </c>
      <c r="B54" s="5" t="str">
        <f>IFERROR(__xludf.DUMMYFUNCTION("""COMPUTED_VALUE"""),"[Anonymized]")</f>
        <v>[Anonymized]</v>
      </c>
      <c r="C54" s="5" t="str">
        <f>IFERROR(__xludf.DUMMYFUNCTION("""COMPUTED_VALUE"""),"[Anonymized]")</f>
        <v>[Anonymized]</v>
      </c>
      <c r="D54" s="5" t="str">
        <f>IFERROR(__xludf.DUMMYFUNCTION("""COMPUTED_VALUE"""),"Research Article")</f>
        <v>Research Article</v>
      </c>
      <c r="E54" s="5"/>
      <c r="F54" s="5"/>
      <c r="G54" s="99">
        <f>IFERROR(__xludf.DUMMYFUNCTION("""COMPUTED_VALUE"""),44719.0)</f>
        <v>44719</v>
      </c>
      <c r="H54" s="5" t="str">
        <f>IFERROR(__xludf.DUMMYFUNCTION("""COMPUTED_VALUE"""),"[Anonymized]")</f>
        <v>[Anonymized]</v>
      </c>
      <c r="I54" s="5" t="str">
        <f>IFERROR(__xludf.DUMMYFUNCTION("""COMPUTED_VALUE"""),"[Anonymized]")</f>
        <v>[Anonymized]</v>
      </c>
      <c r="J54" s="5" t="str">
        <f>IFERROR(__xludf.DUMMYFUNCTION("""COMPUTED_VALUE"""),"Pre-review")</f>
        <v>Pre-review</v>
      </c>
      <c r="K54" s="5"/>
      <c r="L54" s="5"/>
      <c r="M54" s="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5.63"/>
    <col customWidth="1" min="2" max="2" width="20.25"/>
    <col customWidth="1" min="3" max="3" width="15.25"/>
    <col customWidth="1" min="4" max="4" width="11.0"/>
    <col customWidth="1" min="8" max="8" width="7.25"/>
    <col customWidth="1" min="9" max="9" width="7.5"/>
    <col customWidth="1" min="10" max="10" width="8.75"/>
    <col customWidth="1" min="11" max="11" width="2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102">
        <f>IFERROR(__xludf.DUMMYFUNCTION("FILTER(Backup!A:A,Backup!$J:$J = ""Accepted"")"),957.0)</f>
        <v>957</v>
      </c>
      <c r="B2" s="102" t="str">
        <f>IFERROR(__xludf.DUMMYFUNCTION("FILTER(Backup!B:B,Backup!$J:$J = ""Accepted"")"),"[Anonymized]")</f>
        <v>[Anonymized]</v>
      </c>
      <c r="C2" s="102" t="str">
        <f>IFERROR(__xludf.DUMMYFUNCTION("FILTER(Backup!C:C,Backup!$J:$J = ""Accepted"")"),"[Anonymized]")</f>
        <v>[Anonymized]</v>
      </c>
      <c r="D2" s="102" t="str">
        <f>IFERROR(__xludf.DUMMYFUNCTION("FILTER(Backup!D:D,Backup!$J:$J = ""Accepted"")"),"Research Article")</f>
        <v>Research Article</v>
      </c>
      <c r="E2" s="102" t="str">
        <f>IFERROR(__xludf.DUMMYFUNCTION("FILTER(Backup!E:E,Backup!$J:$J = ""Accepted"")"),"")</f>
        <v/>
      </c>
      <c r="F2" s="102" t="str">
        <f>IFERROR(__xludf.DUMMYFUNCTION("FILTER(Backup!F:F,Backup!$J:$J = ""Accepted"")"),"")</f>
        <v/>
      </c>
      <c r="G2" s="103">
        <f>IFERROR(__xludf.DUMMYFUNCTION("FILTER(Backup!G:G,Backup!$J:$J = ""Accepted"")"),44246.0)</f>
        <v>44246</v>
      </c>
      <c r="H2" s="102" t="str">
        <f>IFERROR(__xludf.DUMMYFUNCTION("FILTER(Backup!H:H,Backup!$J:$J = ""Accepted"")"),"[Anonymized]")</f>
        <v>[Anonymized]</v>
      </c>
      <c r="I2" s="102" t="str">
        <f>IFERROR(__xludf.DUMMYFUNCTION("FILTER(Backup!I:I,Backup!$J:$J = ""Accepted"")"),"[Anonymized]")</f>
        <v>[Anonymized]</v>
      </c>
      <c r="J2" s="102" t="str">
        <f>IFERROR(__xludf.DUMMYFUNCTION("FILTER(Backup!J:J,Backup!$J:$J = ""Accepted"")"),"Accepted")</f>
        <v>Accepted</v>
      </c>
      <c r="K2" s="104" t="s">
        <v>295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>
      <c r="A3" s="5">
        <f>IFERROR(__xludf.DUMMYFUNCTION("""COMPUTED_VALUE"""),959.0)</f>
        <v>959</v>
      </c>
      <c r="B3" s="5" t="str">
        <f>IFERROR(__xludf.DUMMYFUNCTION("""COMPUTED_VALUE"""),"[Anonymized]")</f>
        <v>[Anonymized]</v>
      </c>
      <c r="C3" s="5" t="str">
        <f>IFERROR(__xludf.DUMMYFUNCTION("""COMPUTED_VALUE"""),"[Anonymized]")</f>
        <v>[Anonymized]</v>
      </c>
      <c r="D3" s="5" t="str">
        <f>IFERROR(__xludf.DUMMYFUNCTION("""COMPUTED_VALUE"""),"Research Article")</f>
        <v>Research Article</v>
      </c>
      <c r="E3" s="5"/>
      <c r="F3" s="5"/>
      <c r="G3" s="97">
        <f>IFERROR(__xludf.DUMMYFUNCTION("""COMPUTED_VALUE"""),44249.0)</f>
        <v>44249</v>
      </c>
      <c r="H3" s="5" t="str">
        <f>IFERROR(__xludf.DUMMYFUNCTION("""COMPUTED_VALUE"""),"[Anonymized]")</f>
        <v>[Anonymized]</v>
      </c>
      <c r="I3" s="5" t="str">
        <f>IFERROR(__xludf.DUMMYFUNCTION("""COMPUTED_VALUE"""),"[Anonymized]")</f>
        <v>[Anonymized]</v>
      </c>
      <c r="J3" s="5" t="str">
        <f>IFERROR(__xludf.DUMMYFUNCTION("""COMPUTED_VALUE"""),"Accepted")</f>
        <v>Accepted</v>
      </c>
      <c r="K3" s="104" t="s">
        <v>295</v>
      </c>
    </row>
    <row r="4">
      <c r="A4" s="5">
        <f>IFERROR(__xludf.DUMMYFUNCTION("""COMPUTED_VALUE"""),961.0)</f>
        <v>961</v>
      </c>
      <c r="B4" s="5" t="str">
        <f>IFERROR(__xludf.DUMMYFUNCTION("""COMPUTED_VALUE"""),"[Anonymized]")</f>
        <v>[Anonymized]</v>
      </c>
      <c r="C4" s="5" t="str">
        <f>IFERROR(__xludf.DUMMYFUNCTION("""COMPUTED_VALUE"""),"[Anonymized]")</f>
        <v>[Anonymized]</v>
      </c>
      <c r="D4" s="5" t="str">
        <f>IFERROR(__xludf.DUMMYFUNCTION("""COMPUTED_VALUE"""),"Research Article")</f>
        <v>Research Article</v>
      </c>
      <c r="E4" s="5"/>
      <c r="F4" s="5"/>
      <c r="G4" s="97">
        <f>IFERROR(__xludf.DUMMYFUNCTION("""COMPUTED_VALUE"""),44255.0)</f>
        <v>44255</v>
      </c>
      <c r="H4" s="5" t="str">
        <f>IFERROR(__xludf.DUMMYFUNCTION("""COMPUTED_VALUE"""),"[Anonymized]")</f>
        <v>[Anonymized]</v>
      </c>
      <c r="I4" s="5" t="str">
        <f>IFERROR(__xludf.DUMMYFUNCTION("""COMPUTED_VALUE"""),"[Anonymized]")</f>
        <v>[Anonymized]</v>
      </c>
      <c r="J4" s="5" t="str">
        <f>IFERROR(__xludf.DUMMYFUNCTION("""COMPUTED_VALUE"""),"Accepted")</f>
        <v>Accepted</v>
      </c>
      <c r="K4" s="104" t="s">
        <v>295</v>
      </c>
    </row>
    <row r="5">
      <c r="A5" s="5">
        <f>IFERROR(__xludf.DUMMYFUNCTION("""COMPUTED_VALUE"""),1005.0)</f>
        <v>1005</v>
      </c>
      <c r="B5" s="5" t="str">
        <f>IFERROR(__xludf.DUMMYFUNCTION("""COMPUTED_VALUE"""),"[Anonymized]")</f>
        <v>[Anonymized]</v>
      </c>
      <c r="C5" s="5" t="str">
        <f>IFERROR(__xludf.DUMMYFUNCTION("""COMPUTED_VALUE"""),"[Anonymized]")</f>
        <v>[Anonymized]</v>
      </c>
      <c r="D5" s="5" t="str">
        <f>IFERROR(__xludf.DUMMYFUNCTION("""COMPUTED_VALUE"""),"Thematic Collection")</f>
        <v>Thematic Collection</v>
      </c>
      <c r="E5" s="5"/>
      <c r="F5" s="5" t="str">
        <f>IFERROR(__xludf.DUMMYFUNCTION("""COMPUTED_VALUE"""),"Transnational STS")</f>
        <v>Transnational STS</v>
      </c>
      <c r="G5" s="97" t="str">
        <f>IFERROR(__xludf.DUMMYFUNCTION("""COMPUTED_VALUE"""),"26-03-2021")</f>
        <v>26-03-2021</v>
      </c>
      <c r="H5" s="5" t="str">
        <f>IFERROR(__xludf.DUMMYFUNCTION("""COMPUTED_VALUE"""),"[Anonymized]")</f>
        <v>[Anonymized]</v>
      </c>
      <c r="I5" s="5" t="str">
        <f>IFERROR(__xludf.DUMMYFUNCTION("""COMPUTED_VALUE"""),"[Anonymized]")</f>
        <v>[Anonymized]</v>
      </c>
      <c r="J5" s="5" t="str">
        <f>IFERROR(__xludf.DUMMYFUNCTION("""COMPUTED_VALUE"""),"Accepted")</f>
        <v>Accepted</v>
      </c>
      <c r="K5" s="104" t="s">
        <v>296</v>
      </c>
    </row>
    <row r="6">
      <c r="A6" s="5">
        <f>IFERROR(__xludf.DUMMYFUNCTION("""COMPUTED_VALUE"""),1085.0)</f>
        <v>1085</v>
      </c>
      <c r="B6" s="5" t="str">
        <f>IFERROR(__xludf.DUMMYFUNCTION("""COMPUTED_VALUE"""),"[Anonymized]")</f>
        <v>[Anonymized]</v>
      </c>
      <c r="C6" s="5" t="str">
        <f>IFERROR(__xludf.DUMMYFUNCTION("""COMPUTED_VALUE"""),"[Anonymized]")</f>
        <v>[Anonymized]</v>
      </c>
      <c r="D6" s="5" t="str">
        <f>IFERROR(__xludf.DUMMYFUNCTION("""COMPUTED_VALUE"""),"Thematic Collection")</f>
        <v>Thematic Collection</v>
      </c>
      <c r="E6" s="5"/>
      <c r="F6" s="5" t="str">
        <f>IFERROR(__xludf.DUMMYFUNCTION("""COMPUTED_VALUE"""),"Places/Spaces of STS")</f>
        <v>Places/Spaces of STS</v>
      </c>
      <c r="G6" s="97">
        <f>IFERROR(__xludf.DUMMYFUNCTION("""COMPUTED_VALUE"""),44344.0)</f>
        <v>44344</v>
      </c>
      <c r="H6" s="5" t="str">
        <f>IFERROR(__xludf.DUMMYFUNCTION("""COMPUTED_VALUE"""),"[Anonymized]")</f>
        <v>[Anonymized]</v>
      </c>
      <c r="I6" s="5" t="str">
        <f>IFERROR(__xludf.DUMMYFUNCTION("""COMPUTED_VALUE"""),"[Anonymized]")</f>
        <v>[Anonymized]</v>
      </c>
      <c r="J6" s="5" t="str">
        <f>IFERROR(__xludf.DUMMYFUNCTION("""COMPUTED_VALUE"""),"Accepted")</f>
        <v>Accepted</v>
      </c>
      <c r="K6" s="104" t="s">
        <v>296</v>
      </c>
    </row>
    <row r="7">
      <c r="A7" s="5">
        <f>IFERROR(__xludf.DUMMYFUNCTION("""COMPUTED_VALUE"""),1161.0)</f>
        <v>1161</v>
      </c>
      <c r="B7" s="5" t="str">
        <f>IFERROR(__xludf.DUMMYFUNCTION("""COMPUTED_VALUE"""),"[Anonymized]")</f>
        <v>[Anonymized]</v>
      </c>
      <c r="C7" s="5" t="str">
        <f>IFERROR(__xludf.DUMMYFUNCTION("""COMPUTED_VALUE"""),"[Anonymized]")</f>
        <v>[Anonymized]</v>
      </c>
      <c r="D7" s="5" t="str">
        <f>IFERROR(__xludf.DUMMYFUNCTION("""COMPUTED_VALUE"""),"Research Article")</f>
        <v>Research Article</v>
      </c>
      <c r="E7" s="5"/>
      <c r="F7" s="5"/>
      <c r="G7" s="97">
        <f>IFERROR(__xludf.DUMMYFUNCTION("""COMPUTED_VALUE"""),44383.0)</f>
        <v>44383</v>
      </c>
      <c r="H7" s="5" t="str">
        <f>IFERROR(__xludf.DUMMYFUNCTION("""COMPUTED_VALUE"""),"[Anonymized]")</f>
        <v>[Anonymized]</v>
      </c>
      <c r="I7" s="5" t="str">
        <f>IFERROR(__xludf.DUMMYFUNCTION("""COMPUTED_VALUE"""),"[Anonymized]")</f>
        <v>[Anonymized]</v>
      </c>
      <c r="J7" s="5" t="str">
        <f>IFERROR(__xludf.DUMMYFUNCTION("""COMPUTED_VALUE"""),"Accepted")</f>
        <v>Accepted</v>
      </c>
      <c r="K7" s="104" t="s">
        <v>295</v>
      </c>
    </row>
    <row r="8">
      <c r="A8" s="5">
        <f>IFERROR(__xludf.DUMMYFUNCTION("""COMPUTED_VALUE"""),1179.0)</f>
        <v>1179</v>
      </c>
      <c r="B8" s="5" t="str">
        <f>IFERROR(__xludf.DUMMYFUNCTION("""COMPUTED_VALUE"""),"[Anonymized]")</f>
        <v>[Anonymized]</v>
      </c>
      <c r="C8" s="5" t="str">
        <f>IFERROR(__xludf.DUMMYFUNCTION("""COMPUTED_VALUE"""),"[Anonymized]")</f>
        <v>[Anonymized]</v>
      </c>
      <c r="D8" s="5" t="str">
        <f>IFERROR(__xludf.DUMMYFUNCTION("""COMPUTED_VALUE"""),"Research Article")</f>
        <v>Research Article</v>
      </c>
      <c r="E8" s="5"/>
      <c r="F8" s="5"/>
      <c r="G8" s="97">
        <f>IFERROR(__xludf.DUMMYFUNCTION("""COMPUTED_VALUE"""),44404.0)</f>
        <v>44404</v>
      </c>
      <c r="H8" s="5" t="str">
        <f>IFERROR(__xludf.DUMMYFUNCTION("""COMPUTED_VALUE"""),"[Anonymized]")</f>
        <v>[Anonymized]</v>
      </c>
      <c r="I8" s="5" t="str">
        <f>IFERROR(__xludf.DUMMYFUNCTION("""COMPUTED_VALUE"""),"[Anonymized]")</f>
        <v>[Anonymized]</v>
      </c>
      <c r="J8" s="5" t="str">
        <f>IFERROR(__xludf.DUMMYFUNCTION("""COMPUTED_VALUE"""),"Accepted")</f>
        <v>Accepted</v>
      </c>
      <c r="K8" s="104" t="s">
        <v>295</v>
      </c>
    </row>
    <row r="9">
      <c r="A9" s="5">
        <f>IFERROR(__xludf.DUMMYFUNCTION("""COMPUTED_VALUE"""),1233.0)</f>
        <v>1233</v>
      </c>
      <c r="B9" s="5" t="str">
        <f>IFERROR(__xludf.DUMMYFUNCTION("""COMPUTED_VALUE"""),"[Anonymized]")</f>
        <v>[Anonymized]</v>
      </c>
      <c r="C9" s="5" t="str">
        <f>IFERROR(__xludf.DUMMYFUNCTION("""COMPUTED_VALUE"""),"[Anonymized]")</f>
        <v>[Anonymized]</v>
      </c>
      <c r="D9" s="5" t="str">
        <f>IFERROR(__xludf.DUMMYFUNCTION("""COMPUTED_VALUE"""),"Research Article")</f>
        <v>Research Article</v>
      </c>
      <c r="E9" s="5"/>
      <c r="F9" s="5"/>
      <c r="G9" s="97">
        <f>IFERROR(__xludf.DUMMYFUNCTION("""COMPUTED_VALUE"""),44434.0)</f>
        <v>44434</v>
      </c>
      <c r="H9" s="5" t="str">
        <f>IFERROR(__xludf.DUMMYFUNCTION("""COMPUTED_VALUE"""),"[Anonymized]")</f>
        <v>[Anonymized]</v>
      </c>
      <c r="I9" s="5" t="str">
        <f>IFERROR(__xludf.DUMMYFUNCTION("""COMPUTED_VALUE"""),"[Anonymized]")</f>
        <v>[Anonymized]</v>
      </c>
      <c r="J9" s="5" t="str">
        <f>IFERROR(__xludf.DUMMYFUNCTION("""COMPUTED_VALUE"""),"Accepted")</f>
        <v>Accepted</v>
      </c>
      <c r="K9" s="104" t="s">
        <v>295</v>
      </c>
    </row>
    <row r="10">
      <c r="A10" s="5">
        <f>IFERROR(__xludf.DUMMYFUNCTION("""COMPUTED_VALUE"""),1185.0)</f>
        <v>1185</v>
      </c>
      <c r="B10" s="5" t="str">
        <f>IFERROR(__xludf.DUMMYFUNCTION("""COMPUTED_VALUE"""),"[Anonymized]")</f>
        <v>[Anonymized]</v>
      </c>
      <c r="C10" s="5" t="str">
        <f>IFERROR(__xludf.DUMMYFUNCTION("""COMPUTED_VALUE"""),"[Anonymized]")</f>
        <v>[Anonymized]</v>
      </c>
      <c r="D10" s="5" t="str">
        <f>IFERROR(__xludf.DUMMYFUNCTION("""COMPUTED_VALUE"""),"Thematic Collection")</f>
        <v>Thematic Collection</v>
      </c>
      <c r="E10" s="5"/>
      <c r="F10" s="5" t="str">
        <f>IFERROR(__xludf.DUMMYFUNCTION("""COMPUTED_VALUE"""),"STS Pedagogies")</f>
        <v>STS Pedagogies</v>
      </c>
      <c r="G10" s="98">
        <f>IFERROR(__xludf.DUMMYFUNCTION("""COMPUTED_VALUE"""),44441.0)</f>
        <v>44441</v>
      </c>
      <c r="H10" s="5" t="str">
        <f>IFERROR(__xludf.DUMMYFUNCTION("""COMPUTED_VALUE"""),"[Anonymized]")</f>
        <v>[Anonymized]</v>
      </c>
      <c r="I10" s="5" t="str">
        <f>IFERROR(__xludf.DUMMYFUNCTION("""COMPUTED_VALUE"""),"[Anonymized]")</f>
        <v>[Anonymized]</v>
      </c>
      <c r="J10" s="5" t="str">
        <f>IFERROR(__xludf.DUMMYFUNCTION("""COMPUTED_VALUE"""),"Accepted")</f>
        <v>Accepted</v>
      </c>
      <c r="K10" s="6" t="s">
        <v>297</v>
      </c>
    </row>
    <row r="11">
      <c r="A11" s="5">
        <f>IFERROR(__xludf.DUMMYFUNCTION("""COMPUTED_VALUE"""),1391.0)</f>
        <v>1391</v>
      </c>
      <c r="B11" s="5" t="str">
        <f>IFERROR(__xludf.DUMMYFUNCTION("""COMPUTED_VALUE"""),"[Anonymized]")</f>
        <v>[Anonymized]</v>
      </c>
      <c r="C11" s="5" t="str">
        <f>IFERROR(__xludf.DUMMYFUNCTION("""COMPUTED_VALUE"""),"[Anonymized]")</f>
        <v>[Anonymized]</v>
      </c>
      <c r="D11" s="5" t="str">
        <f>IFERROR(__xludf.DUMMYFUNCTION("""COMPUTED_VALUE"""),"Research Article")</f>
        <v>Research Article</v>
      </c>
      <c r="E11" s="5"/>
      <c r="F11" s="5"/>
      <c r="G11" s="97">
        <f>IFERROR(__xludf.DUMMYFUNCTION("""COMPUTED_VALUE"""),44538.0)</f>
        <v>44538</v>
      </c>
      <c r="H11" s="5" t="str">
        <f>IFERROR(__xludf.DUMMYFUNCTION("""COMPUTED_VALUE"""),"[Anonymized]")</f>
        <v>[Anonymized]</v>
      </c>
      <c r="I11" s="5" t="str">
        <f>IFERROR(__xludf.DUMMYFUNCTION("""COMPUTED_VALUE"""),"[Anonymized]")</f>
        <v>[Anonymized]</v>
      </c>
      <c r="J11" s="5" t="str">
        <f>IFERROR(__xludf.DUMMYFUNCTION("""COMPUTED_VALUE"""),"Accepted")</f>
        <v>Accepted</v>
      </c>
      <c r="K11" s="6" t="s">
        <v>298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6.25"/>
    <col customWidth="1" min="2" max="2" width="24.13"/>
    <col customWidth="1" min="3" max="3" width="17.5"/>
    <col customWidth="1" min="4" max="4" width="16.0"/>
    <col customWidth="1" min="6" max="6" width="13.13"/>
    <col customWidth="1" min="8" max="8" width="7.38"/>
    <col customWidth="1" min="9" max="9" width="7.25"/>
    <col customWidth="1" min="10" max="10" width="9.13"/>
    <col customWidth="1" min="11" max="11" width="6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96"/>
      <c r="M1" s="96"/>
    </row>
    <row r="2">
      <c r="A2" s="5">
        <f>IFERROR(__xludf.DUMMYFUNCTION("FILTER(Backup!A:A,Backup!$J:$J = ""Published"")"),471.0)</f>
        <v>471</v>
      </c>
      <c r="B2" s="5" t="str">
        <f>IFERROR(__xludf.DUMMYFUNCTION("FILTER(Backup!B:B,Backup!$J:$J = ""Published"")"),"[Anonymized]")</f>
        <v>[Anonymized]</v>
      </c>
      <c r="C2" s="5" t="str">
        <f>IFERROR(__xludf.DUMMYFUNCTION("FILTER(Backup!C:C,Backup!$J:$J = ""Published"")"),"[Anonymized]")</f>
        <v>[Anonymized]</v>
      </c>
      <c r="D2" s="5" t="str">
        <f>IFERROR(__xludf.DUMMYFUNCTION("FILTER(Backup!D:D,Backup!$J:$J = ""Published"")"),"Thematic Collection")</f>
        <v>Thematic Collection</v>
      </c>
      <c r="E2" s="5" t="str">
        <f>IFERROR(__xludf.DUMMYFUNCTION("FILTER(Backup!E:E,Backup!$J:$J = ""Published"")"),"")</f>
        <v/>
      </c>
      <c r="F2" s="5" t="str">
        <f>IFERROR(__xludf.DUMMYFUNCTION("FILTER(Backup!F:F,Backup!$J:$J = ""Published"")"),"Science and Dissent")</f>
        <v>Science and Dissent</v>
      </c>
      <c r="G2" s="97">
        <f>IFERROR(__xludf.DUMMYFUNCTION("FILTER(Backup!G:G,Backup!$J:$J = ""Published"")"),43956.0)</f>
        <v>43956</v>
      </c>
      <c r="H2" s="5" t="str">
        <f>IFERROR(__xludf.DUMMYFUNCTION("FILTER(Backup!H:H,Backup!$J:$J = ""Published"")"),"[Anonymized]")</f>
        <v>[Anonymized]</v>
      </c>
      <c r="I2" s="5" t="str">
        <f>IFERROR(__xludf.DUMMYFUNCTION("FILTER(Backup!I:I,Backup!$J:$J = ""Published"")"),"[Anonymized]")</f>
        <v>[Anonymized]</v>
      </c>
      <c r="J2" s="5" t="str">
        <f>IFERROR(__xludf.DUMMYFUNCTION("FILTER(Backup!J:J,Backup!$J:$J = ""Published"")"),"Published")</f>
        <v>Published</v>
      </c>
      <c r="K2" s="5">
        <f>IFERROR(__xludf.DUMMYFUNCTION("FILTER(Backup!K:K,Backup!$J:$J = ""Published"")"),8.1)</f>
        <v>8.1</v>
      </c>
      <c r="L2" s="5"/>
      <c r="M2" s="5"/>
    </row>
    <row r="3">
      <c r="A3" s="5">
        <f>IFERROR(__xludf.DUMMYFUNCTION("""COMPUTED_VALUE"""),473.0)</f>
        <v>473</v>
      </c>
      <c r="B3" s="5" t="str">
        <f>IFERROR(__xludf.DUMMYFUNCTION("""COMPUTED_VALUE"""),"[Anonymized]")</f>
        <v>[Anonymized]</v>
      </c>
      <c r="C3" s="5" t="str">
        <f>IFERROR(__xludf.DUMMYFUNCTION("""COMPUTED_VALUE"""),"[Anonymized]")</f>
        <v>[Anonymized]</v>
      </c>
      <c r="D3" s="5" t="str">
        <f>IFERROR(__xludf.DUMMYFUNCTION("""COMPUTED_VALUE"""),"Thematic Collection")</f>
        <v>Thematic Collection</v>
      </c>
      <c r="E3" s="5"/>
      <c r="F3" s="5" t="str">
        <f>IFERROR(__xludf.DUMMYFUNCTION("""COMPUTED_VALUE"""),"Science and Dissent")</f>
        <v>Science and Dissent</v>
      </c>
      <c r="G3" s="97">
        <f>IFERROR(__xludf.DUMMYFUNCTION("""COMPUTED_VALUE"""),43956.0)</f>
        <v>43956</v>
      </c>
      <c r="H3" s="5" t="str">
        <f>IFERROR(__xludf.DUMMYFUNCTION("""COMPUTED_VALUE"""),"[Anonymized]")</f>
        <v>[Anonymized]</v>
      </c>
      <c r="I3" s="5" t="str">
        <f>IFERROR(__xludf.DUMMYFUNCTION("""COMPUTED_VALUE"""),"[Anonymized]")</f>
        <v>[Anonymized]</v>
      </c>
      <c r="J3" s="5" t="str">
        <f>IFERROR(__xludf.DUMMYFUNCTION("""COMPUTED_VALUE"""),"Published")</f>
        <v>Published</v>
      </c>
      <c r="K3" s="5">
        <f>IFERROR(__xludf.DUMMYFUNCTION("""COMPUTED_VALUE"""),8.1)</f>
        <v>8.1</v>
      </c>
      <c r="L3" s="5"/>
      <c r="M3" s="5"/>
    </row>
    <row r="4">
      <c r="A4" s="5">
        <f>IFERROR(__xludf.DUMMYFUNCTION("""COMPUTED_VALUE"""),479.0)</f>
        <v>479</v>
      </c>
      <c r="B4" s="5" t="str">
        <f>IFERROR(__xludf.DUMMYFUNCTION("""COMPUTED_VALUE"""),"[Anonymized]")</f>
        <v>[Anonymized]</v>
      </c>
      <c r="C4" s="5" t="str">
        <f>IFERROR(__xludf.DUMMYFUNCTION("""COMPUTED_VALUE"""),"[Anonymized]")</f>
        <v>[Anonymized]</v>
      </c>
      <c r="D4" s="5" t="str">
        <f>IFERROR(__xludf.DUMMYFUNCTION("""COMPUTED_VALUE"""),"Thematic Collection")</f>
        <v>Thematic Collection</v>
      </c>
      <c r="E4" s="5"/>
      <c r="F4" s="5" t="str">
        <f>IFERROR(__xludf.DUMMYFUNCTION("""COMPUTED_VALUE"""),"Science and Dissent")</f>
        <v>Science and Dissent</v>
      </c>
      <c r="G4" s="97">
        <f>IFERROR(__xludf.DUMMYFUNCTION("""COMPUTED_VALUE"""),43957.0)</f>
        <v>43957</v>
      </c>
      <c r="H4" s="5" t="str">
        <f>IFERROR(__xludf.DUMMYFUNCTION("""COMPUTED_VALUE"""),"[Anonymized]")</f>
        <v>[Anonymized]</v>
      </c>
      <c r="I4" s="5" t="str">
        <f>IFERROR(__xludf.DUMMYFUNCTION("""COMPUTED_VALUE"""),"[Anonymized]")</f>
        <v>[Anonymized]</v>
      </c>
      <c r="J4" s="5" t="str">
        <f>IFERROR(__xludf.DUMMYFUNCTION("""COMPUTED_VALUE"""),"Published")</f>
        <v>Published</v>
      </c>
      <c r="K4" s="5">
        <f>IFERROR(__xludf.DUMMYFUNCTION("""COMPUTED_VALUE"""),8.1)</f>
        <v>8.1</v>
      </c>
      <c r="L4" s="5"/>
      <c r="M4" s="5"/>
    </row>
    <row r="5">
      <c r="A5" s="5">
        <f>IFERROR(__xludf.DUMMYFUNCTION("""COMPUTED_VALUE"""),481.0)</f>
        <v>481</v>
      </c>
      <c r="B5" s="5" t="str">
        <f>IFERROR(__xludf.DUMMYFUNCTION("""COMPUTED_VALUE"""),"[Anonymized]")</f>
        <v>[Anonymized]</v>
      </c>
      <c r="C5" s="5" t="str">
        <f>IFERROR(__xludf.DUMMYFUNCTION("""COMPUTED_VALUE"""),"[Anonymized]")</f>
        <v>[Anonymized]</v>
      </c>
      <c r="D5" s="5" t="str">
        <f>IFERROR(__xludf.DUMMYFUNCTION("""COMPUTED_VALUE"""),"Thematic Collection")</f>
        <v>Thematic Collection</v>
      </c>
      <c r="E5" s="5"/>
      <c r="F5" s="5" t="str">
        <f>IFERROR(__xludf.DUMMYFUNCTION("""COMPUTED_VALUE"""),"Science and Dissent")</f>
        <v>Science and Dissent</v>
      </c>
      <c r="G5" s="97">
        <f>IFERROR(__xludf.DUMMYFUNCTION("""COMPUTED_VALUE"""),43957.0)</f>
        <v>43957</v>
      </c>
      <c r="H5" s="5" t="str">
        <f>IFERROR(__xludf.DUMMYFUNCTION("""COMPUTED_VALUE"""),"[Anonymized]")</f>
        <v>[Anonymized]</v>
      </c>
      <c r="I5" s="5" t="str">
        <f>IFERROR(__xludf.DUMMYFUNCTION("""COMPUTED_VALUE"""),"[Anonymized]")</f>
        <v>[Anonymized]</v>
      </c>
      <c r="J5" s="5" t="str">
        <f>IFERROR(__xludf.DUMMYFUNCTION("""COMPUTED_VALUE"""),"Published")</f>
        <v>Published</v>
      </c>
      <c r="K5" s="5">
        <f>IFERROR(__xludf.DUMMYFUNCTION("""COMPUTED_VALUE"""),8.1)</f>
        <v>8.1</v>
      </c>
      <c r="L5" s="5"/>
      <c r="M5" s="5"/>
    </row>
    <row r="6">
      <c r="A6" s="5">
        <f>IFERROR(__xludf.DUMMYFUNCTION("""COMPUTED_VALUE"""),487.0)</f>
        <v>487</v>
      </c>
      <c r="B6" s="5" t="str">
        <f>IFERROR(__xludf.DUMMYFUNCTION("""COMPUTED_VALUE"""),"[Anonymized]")</f>
        <v>[Anonymized]</v>
      </c>
      <c r="C6" s="5" t="str">
        <f>IFERROR(__xludf.DUMMYFUNCTION("""COMPUTED_VALUE"""),"[Anonymized]")</f>
        <v>[Anonymized]</v>
      </c>
      <c r="D6" s="5" t="str">
        <f>IFERROR(__xludf.DUMMYFUNCTION("""COMPUTED_VALUE"""),"Thematic Collection")</f>
        <v>Thematic Collection</v>
      </c>
      <c r="E6" s="5"/>
      <c r="F6" s="5" t="str">
        <f>IFERROR(__xludf.DUMMYFUNCTION("""COMPUTED_VALUE"""),"Science and Dissent")</f>
        <v>Science and Dissent</v>
      </c>
      <c r="G6" s="97">
        <f>IFERROR(__xludf.DUMMYFUNCTION("""COMPUTED_VALUE"""),43959.0)</f>
        <v>43959</v>
      </c>
      <c r="H6" s="5" t="str">
        <f>IFERROR(__xludf.DUMMYFUNCTION("""COMPUTED_VALUE"""),"[Anonymized]")</f>
        <v>[Anonymized]</v>
      </c>
      <c r="I6" s="5" t="str">
        <f>IFERROR(__xludf.DUMMYFUNCTION("""COMPUTED_VALUE"""),"[Anonymized]")</f>
        <v>[Anonymized]</v>
      </c>
      <c r="J6" s="5" t="str">
        <f>IFERROR(__xludf.DUMMYFUNCTION("""COMPUTED_VALUE"""),"Published")</f>
        <v>Published</v>
      </c>
      <c r="K6" s="5">
        <f>IFERROR(__xludf.DUMMYFUNCTION("""COMPUTED_VALUE"""),8.1)</f>
        <v>8.1</v>
      </c>
      <c r="L6" s="5"/>
      <c r="M6" s="5"/>
    </row>
    <row r="7">
      <c r="A7" s="5">
        <f>IFERROR(__xludf.DUMMYFUNCTION("""COMPUTED_VALUE"""),489.0)</f>
        <v>489</v>
      </c>
      <c r="B7" s="5" t="str">
        <f>IFERROR(__xludf.DUMMYFUNCTION("""COMPUTED_VALUE"""),"[Anonymized]")</f>
        <v>[Anonymized]</v>
      </c>
      <c r="C7" s="5" t="str">
        <f>IFERROR(__xludf.DUMMYFUNCTION("""COMPUTED_VALUE"""),"[Anonymized]")</f>
        <v>[Anonymized]</v>
      </c>
      <c r="D7" s="5" t="str">
        <f>IFERROR(__xludf.DUMMYFUNCTION("""COMPUTED_VALUE"""),"Thematic Collection")</f>
        <v>Thematic Collection</v>
      </c>
      <c r="E7" s="5"/>
      <c r="F7" s="5" t="str">
        <f>IFERROR(__xludf.DUMMYFUNCTION("""COMPUTED_VALUE"""),"Science and Dissent")</f>
        <v>Science and Dissent</v>
      </c>
      <c r="G7" s="97">
        <f>IFERROR(__xludf.DUMMYFUNCTION("""COMPUTED_VALUE"""),43959.0)</f>
        <v>43959</v>
      </c>
      <c r="H7" s="5" t="str">
        <f>IFERROR(__xludf.DUMMYFUNCTION("""COMPUTED_VALUE"""),"[Anonymized]")</f>
        <v>[Anonymized]</v>
      </c>
      <c r="I7" s="5" t="str">
        <f>IFERROR(__xludf.DUMMYFUNCTION("""COMPUTED_VALUE"""),"[Anonymized]")</f>
        <v>[Anonymized]</v>
      </c>
      <c r="J7" s="5" t="str">
        <f>IFERROR(__xludf.DUMMYFUNCTION("""COMPUTED_VALUE"""),"Published")</f>
        <v>Published</v>
      </c>
      <c r="K7" s="5">
        <f>IFERROR(__xludf.DUMMYFUNCTION("""COMPUTED_VALUE"""),8.1)</f>
        <v>8.1</v>
      </c>
      <c r="L7" s="5"/>
      <c r="M7" s="5"/>
    </row>
    <row r="8">
      <c r="A8" s="5">
        <f>IFERROR(__xludf.DUMMYFUNCTION("""COMPUTED_VALUE"""),565.0)</f>
        <v>565</v>
      </c>
      <c r="B8" s="5" t="str">
        <f>IFERROR(__xludf.DUMMYFUNCTION("""COMPUTED_VALUE"""),"[Anonymized]")</f>
        <v>[Anonymized]</v>
      </c>
      <c r="C8" s="5" t="str">
        <f>IFERROR(__xludf.DUMMYFUNCTION("""COMPUTED_VALUE"""),"[Anonymized]")</f>
        <v>[Anonymized]</v>
      </c>
      <c r="D8" s="5" t="str">
        <f>IFERROR(__xludf.DUMMYFUNCTION("""COMPUTED_VALUE"""),"Research Article")</f>
        <v>Research Article</v>
      </c>
      <c r="E8" s="5"/>
      <c r="F8" s="5"/>
      <c r="G8" s="97">
        <f>IFERROR(__xludf.DUMMYFUNCTION("""COMPUTED_VALUE"""),44036.0)</f>
        <v>44036</v>
      </c>
      <c r="H8" s="5" t="str">
        <f>IFERROR(__xludf.DUMMYFUNCTION("""COMPUTED_VALUE"""),"[Anonymized]")</f>
        <v>[Anonymized]</v>
      </c>
      <c r="I8" s="5" t="str">
        <f>IFERROR(__xludf.DUMMYFUNCTION("""COMPUTED_VALUE"""),"[Anonymized]")</f>
        <v>[Anonymized]</v>
      </c>
      <c r="J8" s="5" t="str">
        <f>IFERROR(__xludf.DUMMYFUNCTION("""COMPUTED_VALUE"""),"Published")</f>
        <v>Published</v>
      </c>
      <c r="K8" s="5">
        <f>IFERROR(__xludf.DUMMYFUNCTION("""COMPUTED_VALUE"""),7.1)</f>
        <v>7.1</v>
      </c>
      <c r="L8" s="5"/>
      <c r="M8" s="5"/>
    </row>
    <row r="9">
      <c r="A9" s="5">
        <f>IFERROR(__xludf.DUMMYFUNCTION("""COMPUTED_VALUE"""),653.0)</f>
        <v>653</v>
      </c>
      <c r="B9" s="5" t="str">
        <f>IFERROR(__xludf.DUMMYFUNCTION("""COMPUTED_VALUE"""),"[Anonymized]")</f>
        <v>[Anonymized]</v>
      </c>
      <c r="C9" s="5" t="str">
        <f>IFERROR(__xludf.DUMMYFUNCTION("""COMPUTED_VALUE"""),"[Anonymized]")</f>
        <v>[Anonymized]</v>
      </c>
      <c r="D9" s="5" t="str">
        <f>IFERROR(__xludf.DUMMYFUNCTION("""COMPUTED_VALUE"""),"Research Article")</f>
        <v>Research Article</v>
      </c>
      <c r="E9" s="5"/>
      <c r="F9" s="5"/>
      <c r="G9" s="97">
        <f>IFERROR(__xludf.DUMMYFUNCTION("""COMPUTED_VALUE"""),44075.0)</f>
        <v>44075</v>
      </c>
      <c r="H9" s="5" t="str">
        <f>IFERROR(__xludf.DUMMYFUNCTION("""COMPUTED_VALUE"""),"[Anonymized]")</f>
        <v>[Anonymized]</v>
      </c>
      <c r="I9" s="5" t="str">
        <f>IFERROR(__xludf.DUMMYFUNCTION("""COMPUTED_VALUE"""),"[Anonymized]")</f>
        <v>[Anonymized]</v>
      </c>
      <c r="J9" s="5" t="str">
        <f>IFERROR(__xludf.DUMMYFUNCTION("""COMPUTED_VALUE"""),"Published")</f>
        <v>Published</v>
      </c>
      <c r="K9" s="5">
        <f>IFERROR(__xludf.DUMMYFUNCTION("""COMPUTED_VALUE"""),7.1)</f>
        <v>7.1</v>
      </c>
      <c r="L9" s="5"/>
      <c r="M9" s="5"/>
    </row>
    <row r="10">
      <c r="A10" s="5">
        <f>IFERROR(__xludf.DUMMYFUNCTION("""COMPUTED_VALUE"""),655.0)</f>
        <v>655</v>
      </c>
      <c r="B10" s="5" t="str">
        <f>IFERROR(__xludf.DUMMYFUNCTION("""COMPUTED_VALUE"""),"[Anonymized]")</f>
        <v>[Anonymized]</v>
      </c>
      <c r="C10" s="5" t="str">
        <f>IFERROR(__xludf.DUMMYFUNCTION("""COMPUTED_VALUE"""),"[Anonymized]")</f>
        <v>[Anonymized]</v>
      </c>
      <c r="D10" s="5" t="str">
        <f>IFERROR(__xludf.DUMMYFUNCTION("""COMPUTED_VALUE"""),"Research Article")</f>
        <v>Research Article</v>
      </c>
      <c r="E10" s="5"/>
      <c r="F10" s="5"/>
      <c r="G10" s="97">
        <f>IFERROR(__xludf.DUMMYFUNCTION("""COMPUTED_VALUE"""),44077.0)</f>
        <v>44077</v>
      </c>
      <c r="H10" s="5" t="str">
        <f>IFERROR(__xludf.DUMMYFUNCTION("""COMPUTED_VALUE"""),"[Anonymized]")</f>
        <v>[Anonymized]</v>
      </c>
      <c r="I10" s="5" t="str">
        <f>IFERROR(__xludf.DUMMYFUNCTION("""COMPUTED_VALUE"""),"[Anonymized]")</f>
        <v>[Anonymized]</v>
      </c>
      <c r="J10" s="5" t="str">
        <f>IFERROR(__xludf.DUMMYFUNCTION("""COMPUTED_VALUE"""),"Published")</f>
        <v>Published</v>
      </c>
      <c r="K10" s="5">
        <f>IFERROR(__xludf.DUMMYFUNCTION("""COMPUTED_VALUE"""),7.1)</f>
        <v>7.1</v>
      </c>
      <c r="L10" s="5"/>
      <c r="M10" s="5"/>
    </row>
    <row r="11">
      <c r="A11" s="5">
        <f>IFERROR(__xludf.DUMMYFUNCTION("""COMPUTED_VALUE"""),719.0)</f>
        <v>719</v>
      </c>
      <c r="B11" s="5" t="str">
        <f>IFERROR(__xludf.DUMMYFUNCTION("""COMPUTED_VALUE"""),"[Anonymized]")</f>
        <v>[Anonymized]</v>
      </c>
      <c r="C11" s="5" t="str">
        <f>IFERROR(__xludf.DUMMYFUNCTION("""COMPUTED_VALUE"""),"[Anonymized]")</f>
        <v>[Anonymized]</v>
      </c>
      <c r="D11" s="5" t="str">
        <f>IFERROR(__xludf.DUMMYFUNCTION("""COMPUTED_VALUE"""),"Research Article")</f>
        <v>Research Article</v>
      </c>
      <c r="E11" s="5"/>
      <c r="F11" s="5"/>
      <c r="G11" s="97">
        <f>IFERROR(__xludf.DUMMYFUNCTION("""COMPUTED_VALUE"""),44109.0)</f>
        <v>44109</v>
      </c>
      <c r="H11" s="5" t="str">
        <f>IFERROR(__xludf.DUMMYFUNCTION("""COMPUTED_VALUE"""),"[Anonymized]")</f>
        <v>[Anonymized]</v>
      </c>
      <c r="I11" s="5" t="str">
        <f>IFERROR(__xludf.DUMMYFUNCTION("""COMPUTED_VALUE"""),"[Anonymized]")</f>
        <v>[Anonymized]</v>
      </c>
      <c r="J11" s="5" t="str">
        <f>IFERROR(__xludf.DUMMYFUNCTION("""COMPUTED_VALUE"""),"Published")</f>
        <v>Published</v>
      </c>
      <c r="K11" s="5">
        <f>IFERROR(__xludf.DUMMYFUNCTION("""COMPUTED_VALUE"""),7.2)</f>
        <v>7.2</v>
      </c>
      <c r="L11" s="5"/>
      <c r="M11" s="5"/>
    </row>
    <row r="12">
      <c r="A12" s="5">
        <f>IFERROR(__xludf.DUMMYFUNCTION("""COMPUTED_VALUE"""),769.0)</f>
        <v>769</v>
      </c>
      <c r="B12" s="5" t="str">
        <f>IFERROR(__xludf.DUMMYFUNCTION("""COMPUTED_VALUE"""),"[Anonymized]")</f>
        <v>[Anonymized]</v>
      </c>
      <c r="C12" s="5" t="str">
        <f>IFERROR(__xludf.DUMMYFUNCTION("""COMPUTED_VALUE"""),"[Anonymized]")</f>
        <v>[Anonymized]</v>
      </c>
      <c r="D12" s="5" t="str">
        <f>IFERROR(__xludf.DUMMYFUNCTION("""COMPUTED_VALUE"""),"Research Article")</f>
        <v>Research Article</v>
      </c>
      <c r="E12" s="5"/>
      <c r="F12" s="5"/>
      <c r="G12" s="97">
        <f>IFERROR(__xludf.DUMMYFUNCTION("""COMPUTED_VALUE"""),44141.0)</f>
        <v>44141</v>
      </c>
      <c r="H12" s="5" t="str">
        <f>IFERROR(__xludf.DUMMYFUNCTION("""COMPUTED_VALUE"""),"[Anonymized]")</f>
        <v>[Anonymized]</v>
      </c>
      <c r="I12" s="5" t="str">
        <f>IFERROR(__xludf.DUMMYFUNCTION("""COMPUTED_VALUE"""),"[Anonymized]")</f>
        <v>[Anonymized]</v>
      </c>
      <c r="J12" s="5" t="str">
        <f>IFERROR(__xludf.DUMMYFUNCTION("""COMPUTED_VALUE"""),"Published")</f>
        <v>Published</v>
      </c>
      <c r="K12" s="5">
        <f>IFERROR(__xludf.DUMMYFUNCTION("""COMPUTED_VALUE"""),7.2)</f>
        <v>7.2</v>
      </c>
      <c r="L12" s="5"/>
      <c r="M12" s="5"/>
    </row>
    <row r="13">
      <c r="A13" s="5">
        <f>IFERROR(__xludf.DUMMYFUNCTION("""COMPUTED_VALUE"""),777.0)</f>
        <v>777</v>
      </c>
      <c r="B13" s="5" t="str">
        <f>IFERROR(__xludf.DUMMYFUNCTION("""COMPUTED_VALUE"""),"[Anonymized]")</f>
        <v>[Anonymized]</v>
      </c>
      <c r="C13" s="5" t="str">
        <f>IFERROR(__xludf.DUMMYFUNCTION("""COMPUTED_VALUE"""),"[Anonymized]")</f>
        <v>[Anonymized]</v>
      </c>
      <c r="D13" s="5" t="str">
        <f>IFERROR(__xludf.DUMMYFUNCTION("""COMPUTED_VALUE"""),"Research Article")</f>
        <v>Research Article</v>
      </c>
      <c r="E13" s="5"/>
      <c r="F13" s="5"/>
      <c r="G13" s="97">
        <f>IFERROR(__xludf.DUMMYFUNCTION("""COMPUTED_VALUE"""),44148.0)</f>
        <v>44148</v>
      </c>
      <c r="H13" s="5" t="str">
        <f>IFERROR(__xludf.DUMMYFUNCTION("""COMPUTED_VALUE"""),"[Anonymized]")</f>
        <v>[Anonymized]</v>
      </c>
      <c r="I13" s="5" t="str">
        <f>IFERROR(__xludf.DUMMYFUNCTION("""COMPUTED_VALUE"""),"[Anonymized]")</f>
        <v>[Anonymized]</v>
      </c>
      <c r="J13" s="5" t="str">
        <f>IFERROR(__xludf.DUMMYFUNCTION("""COMPUTED_VALUE"""),"Published")</f>
        <v>Published</v>
      </c>
      <c r="K13" s="5">
        <f>IFERROR(__xludf.DUMMYFUNCTION("""COMPUTED_VALUE"""),7.1)</f>
        <v>7.1</v>
      </c>
      <c r="L13" s="5"/>
      <c r="M13" s="5"/>
    </row>
    <row r="14">
      <c r="A14" s="5">
        <f>IFERROR(__xludf.DUMMYFUNCTION("""COMPUTED_VALUE"""),795.0)</f>
        <v>795</v>
      </c>
      <c r="B14" s="5" t="str">
        <f>IFERROR(__xludf.DUMMYFUNCTION("""COMPUTED_VALUE"""),"[Anonymized]")</f>
        <v>[Anonymized]</v>
      </c>
      <c r="C14" s="5" t="str">
        <f>IFERROR(__xludf.DUMMYFUNCTION("""COMPUTED_VALUE"""),"[Anonymized]")</f>
        <v>[Anonymized]</v>
      </c>
      <c r="D14" s="5" t="str">
        <f>IFERROR(__xludf.DUMMYFUNCTION("""COMPUTED_VALUE"""),"Research Article")</f>
        <v>Research Article</v>
      </c>
      <c r="E14" s="5"/>
      <c r="F14" s="5"/>
      <c r="G14" s="97">
        <f>IFERROR(__xludf.DUMMYFUNCTION("""COMPUTED_VALUE"""),44536.0)</f>
        <v>44536</v>
      </c>
      <c r="H14" s="5" t="str">
        <f>IFERROR(__xludf.DUMMYFUNCTION("""COMPUTED_VALUE"""),"[Anonymized]")</f>
        <v>[Anonymized]</v>
      </c>
      <c r="I14" s="5" t="str">
        <f>IFERROR(__xludf.DUMMYFUNCTION("""COMPUTED_VALUE"""),"[Anonymized]")</f>
        <v>[Anonymized]</v>
      </c>
      <c r="J14" s="5" t="str">
        <f>IFERROR(__xludf.DUMMYFUNCTION("""COMPUTED_VALUE"""),"Published")</f>
        <v>Published</v>
      </c>
      <c r="K14" s="5">
        <f>IFERROR(__xludf.DUMMYFUNCTION("""COMPUTED_VALUE"""),8.1)</f>
        <v>8.1</v>
      </c>
      <c r="L14" s="5"/>
      <c r="M14" s="5"/>
    </row>
    <row r="15">
      <c r="A15" s="5">
        <f>IFERROR(__xludf.DUMMYFUNCTION("""COMPUTED_VALUE"""),811.0)</f>
        <v>811</v>
      </c>
      <c r="B15" s="5" t="str">
        <f>IFERROR(__xludf.DUMMYFUNCTION("""COMPUTED_VALUE"""),"[Anonymized]")</f>
        <v>[Anonymized]</v>
      </c>
      <c r="C15" s="5" t="str">
        <f>IFERROR(__xludf.DUMMYFUNCTION("""COMPUTED_VALUE"""),"[Anonymized]")</f>
        <v>[Anonymized]</v>
      </c>
      <c r="D15" s="5" t="str">
        <f>IFERROR(__xludf.DUMMYFUNCTION("""COMPUTED_VALUE"""),"Thematic Collection")</f>
        <v>Thematic Collection</v>
      </c>
      <c r="E15" s="5"/>
      <c r="F15" s="5" t="str">
        <f>IFERROR(__xludf.DUMMYFUNCTION("""COMPUTED_VALUE"""),"Bernal Forum: Langdon Winner")</f>
        <v>Bernal Forum: Langdon Winner</v>
      </c>
      <c r="G15" s="97"/>
      <c r="H15" s="5" t="str">
        <f>IFERROR(__xludf.DUMMYFUNCTION("""COMPUTED_VALUE"""),"[Anonymized]")</f>
        <v>[Anonymized]</v>
      </c>
      <c r="I15" s="5" t="str">
        <f>IFERROR(__xludf.DUMMYFUNCTION("""COMPUTED_VALUE"""),"[Anonymized]")</f>
        <v>[Anonymized]</v>
      </c>
      <c r="J15" s="5" t="str">
        <f>IFERROR(__xludf.DUMMYFUNCTION("""COMPUTED_VALUE"""),"Published")</f>
        <v>Published</v>
      </c>
      <c r="K15" s="5">
        <f>IFERROR(__xludf.DUMMYFUNCTION("""COMPUTED_VALUE"""),7.1)</f>
        <v>7.1</v>
      </c>
      <c r="L15" s="5"/>
      <c r="M15" s="5"/>
    </row>
    <row r="16">
      <c r="A16" s="5">
        <f>IFERROR(__xludf.DUMMYFUNCTION("""COMPUTED_VALUE"""),815.0)</f>
        <v>815</v>
      </c>
      <c r="B16" s="5" t="str">
        <f>IFERROR(__xludf.DUMMYFUNCTION("""COMPUTED_VALUE"""),"[Anonymized]")</f>
        <v>[Anonymized]</v>
      </c>
      <c r="C16" s="5" t="str">
        <f>IFERROR(__xludf.DUMMYFUNCTION("""COMPUTED_VALUE"""),"[Anonymized]")</f>
        <v>[Anonymized]</v>
      </c>
      <c r="D16" s="5" t="str">
        <f>IFERROR(__xludf.DUMMYFUNCTION("""COMPUTED_VALUE"""),"Thematic Collection")</f>
        <v>Thematic Collection</v>
      </c>
      <c r="E16" s="5"/>
      <c r="F16" s="5" t="str">
        <f>IFERROR(__xludf.DUMMYFUNCTION("""COMPUTED_VALUE"""),"Bernal Forum: Sharon Traweek")</f>
        <v>Bernal Forum: Sharon Traweek</v>
      </c>
      <c r="G16" s="97"/>
      <c r="H16" s="5" t="str">
        <f>IFERROR(__xludf.DUMMYFUNCTION("""COMPUTED_VALUE"""),"[Anonymized]")</f>
        <v>[Anonymized]</v>
      </c>
      <c r="I16" s="5" t="str">
        <f>IFERROR(__xludf.DUMMYFUNCTION("""COMPUTED_VALUE"""),"[Anonymized]")</f>
        <v>[Anonymized]</v>
      </c>
      <c r="J16" s="5" t="str">
        <f>IFERROR(__xludf.DUMMYFUNCTION("""COMPUTED_VALUE"""),"Published")</f>
        <v>Published</v>
      </c>
      <c r="K16" s="5">
        <f>IFERROR(__xludf.DUMMYFUNCTION("""COMPUTED_VALUE"""),7.2)</f>
        <v>7.2</v>
      </c>
      <c r="L16" s="5"/>
      <c r="M16" s="5"/>
    </row>
    <row r="17">
      <c r="A17" s="5">
        <f>IFERROR(__xludf.DUMMYFUNCTION("""COMPUTED_VALUE"""),817.0)</f>
        <v>817</v>
      </c>
      <c r="B17" s="5" t="str">
        <f>IFERROR(__xludf.DUMMYFUNCTION("""COMPUTED_VALUE"""),"[Anonymized]")</f>
        <v>[Anonymized]</v>
      </c>
      <c r="C17" s="5" t="str">
        <f>IFERROR(__xludf.DUMMYFUNCTION("""COMPUTED_VALUE"""),"[Anonymized]")</f>
        <v>[Anonymized]</v>
      </c>
      <c r="D17" s="5" t="str">
        <f>IFERROR(__xludf.DUMMYFUNCTION("""COMPUTED_VALUE"""),"Thematic Collection")</f>
        <v>Thematic Collection</v>
      </c>
      <c r="E17" s="5"/>
      <c r="F17" s="5" t="str">
        <f>IFERROR(__xludf.DUMMYFUNCTION("""COMPUTED_VALUE"""),"Bernal Forum: Sharon Traweek")</f>
        <v>Bernal Forum: Sharon Traweek</v>
      </c>
      <c r="G17" s="97"/>
      <c r="H17" s="5" t="str">
        <f>IFERROR(__xludf.DUMMYFUNCTION("""COMPUTED_VALUE"""),"[Anonymized]")</f>
        <v>[Anonymized]</v>
      </c>
      <c r="I17" s="5" t="str">
        <f>IFERROR(__xludf.DUMMYFUNCTION("""COMPUTED_VALUE"""),"[Anonymized]")</f>
        <v>[Anonymized]</v>
      </c>
      <c r="J17" s="5" t="str">
        <f>IFERROR(__xludf.DUMMYFUNCTION("""COMPUTED_VALUE"""),"Published")</f>
        <v>Published</v>
      </c>
      <c r="K17" s="5">
        <f>IFERROR(__xludf.DUMMYFUNCTION("""COMPUTED_VALUE"""),7.2)</f>
        <v>7.2</v>
      </c>
      <c r="L17" s="5"/>
      <c r="M17" s="5"/>
    </row>
    <row r="18">
      <c r="A18" s="5">
        <f>IFERROR(__xludf.DUMMYFUNCTION("""COMPUTED_VALUE"""),821.0)</f>
        <v>821</v>
      </c>
      <c r="B18" s="5" t="str">
        <f>IFERROR(__xludf.DUMMYFUNCTION("""COMPUTED_VALUE"""),"[Anonymized]")</f>
        <v>[Anonymized]</v>
      </c>
      <c r="C18" s="5" t="str">
        <f>IFERROR(__xludf.DUMMYFUNCTION("""COMPUTED_VALUE"""),"[Anonymized]")</f>
        <v>[Anonymized]</v>
      </c>
      <c r="D18" s="5" t="str">
        <f>IFERROR(__xludf.DUMMYFUNCTION("""COMPUTED_VALUE"""),"Thematic Collection")</f>
        <v>Thematic Collection</v>
      </c>
      <c r="E18" s="5"/>
      <c r="F18" s="5" t="str">
        <f>IFERROR(__xludf.DUMMYFUNCTION("""COMPUTED_VALUE"""),"Bernal Forum: Sharon Traweek")</f>
        <v>Bernal Forum: Sharon Traweek</v>
      </c>
      <c r="G18" s="97"/>
      <c r="H18" s="5" t="str">
        <f>IFERROR(__xludf.DUMMYFUNCTION("""COMPUTED_VALUE"""),"[Anonymized]")</f>
        <v>[Anonymized]</v>
      </c>
      <c r="I18" s="5" t="str">
        <f>IFERROR(__xludf.DUMMYFUNCTION("""COMPUTED_VALUE"""),"[Anonymized]")</f>
        <v>[Anonymized]</v>
      </c>
      <c r="J18" s="5" t="str">
        <f>IFERROR(__xludf.DUMMYFUNCTION("""COMPUTED_VALUE"""),"Published")</f>
        <v>Published</v>
      </c>
      <c r="K18" s="5">
        <f>IFERROR(__xludf.DUMMYFUNCTION("""COMPUTED_VALUE"""),7.2)</f>
        <v>7.2</v>
      </c>
      <c r="L18" s="5"/>
      <c r="M18" s="5"/>
    </row>
    <row r="19">
      <c r="A19" s="5">
        <f>IFERROR(__xludf.DUMMYFUNCTION("""COMPUTED_VALUE"""),823.0)</f>
        <v>823</v>
      </c>
      <c r="B19" s="5" t="str">
        <f>IFERROR(__xludf.DUMMYFUNCTION("""COMPUTED_VALUE"""),"[Anonymized]")</f>
        <v>[Anonymized]</v>
      </c>
      <c r="C19" s="5" t="str">
        <f>IFERROR(__xludf.DUMMYFUNCTION("""COMPUTED_VALUE"""),"[Anonymized]")</f>
        <v>[Anonymized]</v>
      </c>
      <c r="D19" s="5" t="str">
        <f>IFERROR(__xludf.DUMMYFUNCTION("""COMPUTED_VALUE"""),"Thematic Collection")</f>
        <v>Thematic Collection</v>
      </c>
      <c r="E19" s="5"/>
      <c r="F19" s="5" t="str">
        <f>IFERROR(__xludf.DUMMYFUNCTION("""COMPUTED_VALUE"""),"Bernal Forum: Sharon Traweek")</f>
        <v>Bernal Forum: Sharon Traweek</v>
      </c>
      <c r="G19" s="97"/>
      <c r="H19" s="5" t="str">
        <f>IFERROR(__xludf.DUMMYFUNCTION("""COMPUTED_VALUE"""),"[Anonymized]")</f>
        <v>[Anonymized]</v>
      </c>
      <c r="I19" s="5" t="str">
        <f>IFERROR(__xludf.DUMMYFUNCTION("""COMPUTED_VALUE"""),"[Anonymized]")</f>
        <v>[Anonymized]</v>
      </c>
      <c r="J19" s="5" t="str">
        <f>IFERROR(__xludf.DUMMYFUNCTION("""COMPUTED_VALUE"""),"Published")</f>
        <v>Published</v>
      </c>
      <c r="K19" s="5">
        <f>IFERROR(__xludf.DUMMYFUNCTION("""COMPUTED_VALUE"""),7.2)</f>
        <v>7.2</v>
      </c>
      <c r="L19" s="5"/>
      <c r="M19" s="5"/>
    </row>
    <row r="20">
      <c r="A20" s="5">
        <f>IFERROR(__xludf.DUMMYFUNCTION("""COMPUTED_VALUE"""),825.0)</f>
        <v>825</v>
      </c>
      <c r="B20" s="5" t="str">
        <f>IFERROR(__xludf.DUMMYFUNCTION("""COMPUTED_VALUE"""),"[Anonymized]")</f>
        <v>[Anonymized]</v>
      </c>
      <c r="C20" s="5" t="str">
        <f>IFERROR(__xludf.DUMMYFUNCTION("""COMPUTED_VALUE"""),"[Anonymized]")</f>
        <v>[Anonymized]</v>
      </c>
      <c r="D20" s="5" t="str">
        <f>IFERROR(__xludf.DUMMYFUNCTION("""COMPUTED_VALUE"""),"Thematic Collection")</f>
        <v>Thematic Collection</v>
      </c>
      <c r="E20" s="5"/>
      <c r="F20" s="5" t="str">
        <f>IFERROR(__xludf.DUMMYFUNCTION("""COMPUTED_VALUE"""),"Bernal Forum: Langdon Winner")</f>
        <v>Bernal Forum: Langdon Winner</v>
      </c>
      <c r="G20" s="97"/>
      <c r="H20" s="5" t="str">
        <f>IFERROR(__xludf.DUMMYFUNCTION("""COMPUTED_VALUE"""),"[Anonymized]")</f>
        <v>[Anonymized]</v>
      </c>
      <c r="I20" s="5" t="str">
        <f>IFERROR(__xludf.DUMMYFUNCTION("""COMPUTED_VALUE"""),"[Anonymized]")</f>
        <v>[Anonymized]</v>
      </c>
      <c r="J20" s="5" t="str">
        <f>IFERROR(__xludf.DUMMYFUNCTION("""COMPUTED_VALUE"""),"Published")</f>
        <v>Published</v>
      </c>
      <c r="K20" s="5">
        <f>IFERROR(__xludf.DUMMYFUNCTION("""COMPUTED_VALUE"""),7.1)</f>
        <v>7.1</v>
      </c>
      <c r="L20" s="5"/>
      <c r="M20" s="5"/>
    </row>
    <row r="21">
      <c r="A21" s="5">
        <f>IFERROR(__xludf.DUMMYFUNCTION("""COMPUTED_VALUE"""),827.0)</f>
        <v>827</v>
      </c>
      <c r="B21" s="5" t="str">
        <f>IFERROR(__xludf.DUMMYFUNCTION("""COMPUTED_VALUE"""),"[Anonymized]")</f>
        <v>[Anonymized]</v>
      </c>
      <c r="C21" s="5" t="str">
        <f>IFERROR(__xludf.DUMMYFUNCTION("""COMPUTED_VALUE"""),"[Anonymized]")</f>
        <v>[Anonymized]</v>
      </c>
      <c r="D21" s="5" t="str">
        <f>IFERROR(__xludf.DUMMYFUNCTION("""COMPUTED_VALUE"""),"Thematic Collection")</f>
        <v>Thematic Collection</v>
      </c>
      <c r="E21" s="5"/>
      <c r="F21" s="5" t="str">
        <f>IFERROR(__xludf.DUMMYFUNCTION("""COMPUTED_VALUE"""),"Bernal Forum: Sharon Traweek")</f>
        <v>Bernal Forum: Sharon Traweek</v>
      </c>
      <c r="G21" s="97"/>
      <c r="H21" s="5" t="str">
        <f>IFERROR(__xludf.DUMMYFUNCTION("""COMPUTED_VALUE"""),"[Anonymized]")</f>
        <v>[Anonymized]</v>
      </c>
      <c r="I21" s="5" t="str">
        <f>IFERROR(__xludf.DUMMYFUNCTION("""COMPUTED_VALUE"""),"[Anonymized]")</f>
        <v>[Anonymized]</v>
      </c>
      <c r="J21" s="5" t="str">
        <f>IFERROR(__xludf.DUMMYFUNCTION("""COMPUTED_VALUE"""),"Published")</f>
        <v>Published</v>
      </c>
      <c r="K21" s="5">
        <f>IFERROR(__xludf.DUMMYFUNCTION("""COMPUTED_VALUE"""),7.2)</f>
        <v>7.2</v>
      </c>
      <c r="L21" s="5"/>
      <c r="M21" s="5"/>
    </row>
    <row r="22">
      <c r="A22" s="5">
        <f>IFERROR(__xludf.DUMMYFUNCTION("""COMPUTED_VALUE"""),857.0)</f>
        <v>857</v>
      </c>
      <c r="B22" s="5" t="str">
        <f>IFERROR(__xludf.DUMMYFUNCTION("""COMPUTED_VALUE"""),"[Anonymized]")</f>
        <v>[Anonymized]</v>
      </c>
      <c r="C22" s="5" t="str">
        <f>IFERROR(__xludf.DUMMYFUNCTION("""COMPUTED_VALUE"""),"[Anonymized]")</f>
        <v>[Anonymized]</v>
      </c>
      <c r="D22" s="5" t="str">
        <f>IFERROR(__xludf.DUMMYFUNCTION("""COMPUTED_VALUE"""),"Thematic Collection")</f>
        <v>Thematic Collection</v>
      </c>
      <c r="E22" s="5"/>
      <c r="F22" s="5" t="str">
        <f>IFERROR(__xludf.DUMMYFUNCTION("""COMPUTED_VALUE"""),"Bernal Forum: Sharon Traweek")</f>
        <v>Bernal Forum: Sharon Traweek</v>
      </c>
      <c r="G22" s="97"/>
      <c r="H22" s="5" t="str">
        <f>IFERROR(__xludf.DUMMYFUNCTION("""COMPUTED_VALUE"""),"[Anonymized]")</f>
        <v>[Anonymized]</v>
      </c>
      <c r="I22" s="5" t="str">
        <f>IFERROR(__xludf.DUMMYFUNCTION("""COMPUTED_VALUE"""),"[Anonymized]")</f>
        <v>[Anonymized]</v>
      </c>
      <c r="J22" s="5" t="str">
        <f>IFERROR(__xludf.DUMMYFUNCTION("""COMPUTED_VALUE"""),"Published")</f>
        <v>Published</v>
      </c>
      <c r="K22" s="5">
        <f>IFERROR(__xludf.DUMMYFUNCTION("""COMPUTED_VALUE"""),7.2)</f>
        <v>7.2</v>
      </c>
      <c r="L22" s="5"/>
      <c r="M22" s="5"/>
    </row>
    <row r="23">
      <c r="A23" s="5">
        <f>IFERROR(__xludf.DUMMYFUNCTION("""COMPUTED_VALUE"""),861.0)</f>
        <v>861</v>
      </c>
      <c r="B23" s="5" t="str">
        <f>IFERROR(__xludf.DUMMYFUNCTION("""COMPUTED_VALUE"""),"[Anonymized]")</f>
        <v>[Anonymized]</v>
      </c>
      <c r="C23" s="5" t="str">
        <f>IFERROR(__xludf.DUMMYFUNCTION("""COMPUTED_VALUE"""),"[Anonymized]")</f>
        <v>[Anonymized]</v>
      </c>
      <c r="D23" s="5" t="str">
        <f>IFERROR(__xludf.DUMMYFUNCTION("""COMPUTED_VALUE"""),"Thematic Collection")</f>
        <v>Thematic Collection</v>
      </c>
      <c r="E23" s="5"/>
      <c r="F23" s="5" t="str">
        <f>IFERROR(__xludf.DUMMYFUNCTION("""COMPUTED_VALUE"""),"Bernal Forum: Langdon Winner")</f>
        <v>Bernal Forum: Langdon Winner</v>
      </c>
      <c r="G23" s="97"/>
      <c r="H23" s="5" t="str">
        <f>IFERROR(__xludf.DUMMYFUNCTION("""COMPUTED_VALUE"""),"[Anonymized]")</f>
        <v>[Anonymized]</v>
      </c>
      <c r="I23" s="5" t="str">
        <f>IFERROR(__xludf.DUMMYFUNCTION("""COMPUTED_VALUE"""),"[Anonymized]")</f>
        <v>[Anonymized]</v>
      </c>
      <c r="J23" s="5" t="str">
        <f>IFERROR(__xludf.DUMMYFUNCTION("""COMPUTED_VALUE"""),"Published")</f>
        <v>Published</v>
      </c>
      <c r="K23" s="5">
        <f>IFERROR(__xludf.DUMMYFUNCTION("""COMPUTED_VALUE"""),7.1)</f>
        <v>7.1</v>
      </c>
      <c r="L23" s="5"/>
      <c r="M23" s="5"/>
    </row>
    <row r="24">
      <c r="A24" s="5">
        <f>IFERROR(__xludf.DUMMYFUNCTION("""COMPUTED_VALUE"""),929.0)</f>
        <v>929</v>
      </c>
      <c r="B24" s="5" t="str">
        <f>IFERROR(__xludf.DUMMYFUNCTION("""COMPUTED_VALUE"""),"[Anonymized]")</f>
        <v>[Anonymized]</v>
      </c>
      <c r="C24" s="5" t="str">
        <f>IFERROR(__xludf.DUMMYFUNCTION("""COMPUTED_VALUE"""),"[Anonymized]")</f>
        <v>[Anonymized]</v>
      </c>
      <c r="D24" s="5" t="str">
        <f>IFERROR(__xludf.DUMMYFUNCTION("""COMPUTED_VALUE"""),"Research Article")</f>
        <v>Research Article</v>
      </c>
      <c r="E24" s="5"/>
      <c r="F24" s="5"/>
      <c r="G24" s="97">
        <f>IFERROR(__xludf.DUMMYFUNCTION("""COMPUTED_VALUE"""),44225.0)</f>
        <v>44225</v>
      </c>
      <c r="H24" s="5" t="str">
        <f>IFERROR(__xludf.DUMMYFUNCTION("""COMPUTED_VALUE"""),"[Anonymized]")</f>
        <v>[Anonymized]</v>
      </c>
      <c r="I24" s="5" t="str">
        <f>IFERROR(__xludf.DUMMYFUNCTION("""COMPUTED_VALUE"""),"[Anonymized]")</f>
        <v>[Anonymized]</v>
      </c>
      <c r="J24" s="5" t="str">
        <f>IFERROR(__xludf.DUMMYFUNCTION("""COMPUTED_VALUE"""),"Published")</f>
        <v>Published</v>
      </c>
      <c r="K24" s="5">
        <f>IFERROR(__xludf.DUMMYFUNCTION("""COMPUTED_VALUE"""),8.1)</f>
        <v>8.1</v>
      </c>
      <c r="L24" s="5"/>
      <c r="M24" s="5"/>
    </row>
    <row r="25">
      <c r="A25" s="5">
        <f>IFERROR(__xludf.DUMMYFUNCTION("""COMPUTED_VALUE"""),939.0)</f>
        <v>939</v>
      </c>
      <c r="B25" s="5" t="str">
        <f>IFERROR(__xludf.DUMMYFUNCTION("""COMPUTED_VALUE"""),"[Anonymized]")</f>
        <v>[Anonymized]</v>
      </c>
      <c r="C25" s="5" t="str">
        <f>IFERROR(__xludf.DUMMYFUNCTION("""COMPUTED_VALUE"""),"[Anonymized]")</f>
        <v>[Anonymized]</v>
      </c>
      <c r="D25" s="5" t="str">
        <f>IFERROR(__xludf.DUMMYFUNCTION("""COMPUTED_VALUE"""),"Thematic Collection")</f>
        <v>Thematic Collection</v>
      </c>
      <c r="E25" s="5"/>
      <c r="F25" s="5" t="str">
        <f>IFERROR(__xludf.DUMMYFUNCTION("""COMPUTED_VALUE"""),"Science and Dissent")</f>
        <v>Science and Dissent</v>
      </c>
      <c r="G25" s="97">
        <f>IFERROR(__xludf.DUMMYFUNCTION("""COMPUTED_VALUE"""),44239.0)</f>
        <v>44239</v>
      </c>
      <c r="H25" s="5" t="str">
        <f>IFERROR(__xludf.DUMMYFUNCTION("""COMPUTED_VALUE"""),"[Anonymized]")</f>
        <v>[Anonymized]</v>
      </c>
      <c r="I25" s="5" t="str">
        <f>IFERROR(__xludf.DUMMYFUNCTION("""COMPUTED_VALUE"""),"[Anonymized]")</f>
        <v>[Anonymized]</v>
      </c>
      <c r="J25" s="5" t="str">
        <f>IFERROR(__xludf.DUMMYFUNCTION("""COMPUTED_VALUE"""),"Published")</f>
        <v>Published</v>
      </c>
      <c r="K25" s="5">
        <f>IFERROR(__xludf.DUMMYFUNCTION("""COMPUTED_VALUE"""),8.1)</f>
        <v>8.1</v>
      </c>
      <c r="L25" s="5"/>
      <c r="M25" s="5"/>
    </row>
    <row r="26">
      <c r="A26" s="5">
        <f>IFERROR(__xludf.DUMMYFUNCTION("""COMPUTED_VALUE"""),965.0)</f>
        <v>965</v>
      </c>
      <c r="B26" s="5" t="str">
        <f>IFERROR(__xludf.DUMMYFUNCTION("""COMPUTED_VALUE"""),"[Anonymized]")</f>
        <v>[Anonymized]</v>
      </c>
      <c r="C26" s="5" t="str">
        <f>IFERROR(__xludf.DUMMYFUNCTION("""COMPUTED_VALUE"""),"[Anonymized]")</f>
        <v>[Anonymized]</v>
      </c>
      <c r="D26" s="5" t="str">
        <f>IFERROR(__xludf.DUMMYFUNCTION("""COMPUTED_VALUE"""),"Thematic Collection")</f>
        <v>Thematic Collection</v>
      </c>
      <c r="E26" s="5"/>
      <c r="F26" s="5" t="str">
        <f>IFERROR(__xludf.DUMMYFUNCTION("""COMPUTED_VALUE"""),"Bernal Forum: Langdon Winner")</f>
        <v>Bernal Forum: Langdon Winner</v>
      </c>
      <c r="G26" s="97">
        <f>IFERROR(__xludf.DUMMYFUNCTION("""COMPUTED_VALUE"""),44187.0)</f>
        <v>44187</v>
      </c>
      <c r="H26" s="5" t="str">
        <f>IFERROR(__xludf.DUMMYFUNCTION("""COMPUTED_VALUE"""),"[Anonymized]")</f>
        <v>[Anonymized]</v>
      </c>
      <c r="I26" s="5" t="str">
        <f>IFERROR(__xludf.DUMMYFUNCTION("""COMPUTED_VALUE"""),"[Anonymized]")</f>
        <v>[Anonymized]</v>
      </c>
      <c r="J26" s="5" t="str">
        <f>IFERROR(__xludf.DUMMYFUNCTION("""COMPUTED_VALUE"""),"Published")</f>
        <v>Published</v>
      </c>
      <c r="K26" s="5">
        <f>IFERROR(__xludf.DUMMYFUNCTION("""COMPUTED_VALUE"""),7.1)</f>
        <v>7.1</v>
      </c>
      <c r="L26" s="5"/>
      <c r="M26" s="5"/>
    </row>
    <row r="27">
      <c r="A27" s="5">
        <f>IFERROR(__xludf.DUMMYFUNCTION("""COMPUTED_VALUE"""),967.0)</f>
        <v>967</v>
      </c>
      <c r="B27" s="5" t="str">
        <f>IFERROR(__xludf.DUMMYFUNCTION("""COMPUTED_VALUE"""),"[Anonymized]")</f>
        <v>[Anonymized]</v>
      </c>
      <c r="C27" s="5" t="str">
        <f>IFERROR(__xludf.DUMMYFUNCTION("""COMPUTED_VALUE"""),"[Anonymized]")</f>
        <v>[Anonymized]</v>
      </c>
      <c r="D27" s="5" t="str">
        <f>IFERROR(__xludf.DUMMYFUNCTION("""COMPUTED_VALUE"""),"Thematic Collection")</f>
        <v>Thematic Collection</v>
      </c>
      <c r="E27" s="5"/>
      <c r="F27" s="5" t="str">
        <f>IFERROR(__xludf.DUMMYFUNCTION("""COMPUTED_VALUE"""),"Bernal Forum: Langdon Winner")</f>
        <v>Bernal Forum: Langdon Winner</v>
      </c>
      <c r="G27" s="97"/>
      <c r="H27" s="5" t="str">
        <f>IFERROR(__xludf.DUMMYFUNCTION("""COMPUTED_VALUE"""),"[Anonymized]")</f>
        <v>[Anonymized]</v>
      </c>
      <c r="I27" s="5" t="str">
        <f>IFERROR(__xludf.DUMMYFUNCTION("""COMPUTED_VALUE"""),"[Anonymized]")</f>
        <v>[Anonymized]</v>
      </c>
      <c r="J27" s="5" t="str">
        <f>IFERROR(__xludf.DUMMYFUNCTION("""COMPUTED_VALUE"""),"Published")</f>
        <v>Published</v>
      </c>
      <c r="K27" s="5">
        <f>IFERROR(__xludf.DUMMYFUNCTION("""COMPUTED_VALUE"""),7.1)</f>
        <v>7.1</v>
      </c>
      <c r="L27" s="5"/>
      <c r="M27" s="5"/>
    </row>
    <row r="28">
      <c r="A28" s="5">
        <f>IFERROR(__xludf.DUMMYFUNCTION("""COMPUTED_VALUE"""),1119.0)</f>
        <v>1119</v>
      </c>
      <c r="B28" s="5" t="str">
        <f>IFERROR(__xludf.DUMMYFUNCTION("""COMPUTED_VALUE"""),"[Anonymized]")</f>
        <v>[Anonymized]</v>
      </c>
      <c r="C28" s="5" t="str">
        <f>IFERROR(__xludf.DUMMYFUNCTION("""COMPUTED_VALUE"""),"[Anonymized]")</f>
        <v>[Anonymized]</v>
      </c>
      <c r="D28" s="5" t="str">
        <f>IFERROR(__xludf.DUMMYFUNCTION("""COMPUTED_VALUE"""),"Thematic Collection")</f>
        <v>Thematic Collection</v>
      </c>
      <c r="E28" s="5"/>
      <c r="F28" s="5" t="str">
        <f>IFERROR(__xludf.DUMMYFUNCTION("""COMPUTED_VALUE"""),"Bernal Forum: Langdon Winner")</f>
        <v>Bernal Forum: Langdon Winner</v>
      </c>
      <c r="G28" s="97">
        <f>IFERROR(__xludf.DUMMYFUNCTION("""COMPUTED_VALUE"""),44450.0)</f>
        <v>44450</v>
      </c>
      <c r="H28" s="5" t="str">
        <f>IFERROR(__xludf.DUMMYFUNCTION("""COMPUTED_VALUE"""),"[Anonymized]")</f>
        <v>[Anonymized]</v>
      </c>
      <c r="I28" s="5" t="str">
        <f>IFERROR(__xludf.DUMMYFUNCTION("""COMPUTED_VALUE"""),"[Anonymized]")</f>
        <v>[Anonymized]</v>
      </c>
      <c r="J28" s="5" t="str">
        <f>IFERROR(__xludf.DUMMYFUNCTION("""COMPUTED_VALUE"""),"Published")</f>
        <v>Published</v>
      </c>
      <c r="K28" s="5">
        <f>IFERROR(__xludf.DUMMYFUNCTION("""COMPUTED_VALUE"""),7.1)</f>
        <v>7.1</v>
      </c>
      <c r="L28" s="5"/>
      <c r="M28" s="5"/>
    </row>
    <row r="29">
      <c r="A29" s="5">
        <f>IFERROR(__xludf.DUMMYFUNCTION("""COMPUTED_VALUE"""),1197.0)</f>
        <v>1197</v>
      </c>
      <c r="B29" s="5" t="str">
        <f>IFERROR(__xludf.DUMMYFUNCTION("""COMPUTED_VALUE"""),"[Anonymized]")</f>
        <v>[Anonymized]</v>
      </c>
      <c r="C29" s="5" t="str">
        <f>IFERROR(__xludf.DUMMYFUNCTION("""COMPUTED_VALUE"""),"[Anonymized]")</f>
        <v>[Anonymized]</v>
      </c>
      <c r="D29" s="5" t="str">
        <f>IFERROR(__xludf.DUMMYFUNCTION("""COMPUTED_VALUE"""),"Perspectives")</f>
        <v>Perspectives</v>
      </c>
      <c r="E29" s="5"/>
      <c r="F29" s="5"/>
      <c r="G29" s="97">
        <f>IFERROR(__xludf.DUMMYFUNCTION("""COMPUTED_VALUE"""),44406.0)</f>
        <v>44406</v>
      </c>
      <c r="H29" s="5" t="str">
        <f>IFERROR(__xludf.DUMMYFUNCTION("""COMPUTED_VALUE"""),"[Anonymized]")</f>
        <v>[Anonymized]</v>
      </c>
      <c r="I29" s="5" t="str">
        <f>IFERROR(__xludf.DUMMYFUNCTION("""COMPUTED_VALUE"""),"[Anonymized]")</f>
        <v>[Anonymized]</v>
      </c>
      <c r="J29" s="5" t="str">
        <f>IFERROR(__xludf.DUMMYFUNCTION("""COMPUTED_VALUE"""),"Published")</f>
        <v>Published</v>
      </c>
      <c r="K29" s="5">
        <f>IFERROR(__xludf.DUMMYFUNCTION("""COMPUTED_VALUE"""),7.1)</f>
        <v>7.1</v>
      </c>
      <c r="L29" s="5"/>
      <c r="M29" s="5"/>
    </row>
    <row r="30">
      <c r="A30" s="5">
        <f>IFERROR(__xludf.DUMMYFUNCTION("""COMPUTED_VALUE"""),1247.0)</f>
        <v>1247</v>
      </c>
      <c r="B30" s="5" t="str">
        <f>IFERROR(__xludf.DUMMYFUNCTION("""COMPUTED_VALUE"""),"[Anonymized]")</f>
        <v>[Anonymized]</v>
      </c>
      <c r="C30" s="5" t="str">
        <f>IFERROR(__xludf.DUMMYFUNCTION("""COMPUTED_VALUE"""),"[Anonymized]")</f>
        <v>[Anonymized]</v>
      </c>
      <c r="D30" s="5"/>
      <c r="E30" s="5"/>
      <c r="F30" s="5" t="str">
        <f>IFERROR(__xludf.DUMMYFUNCTION("""COMPUTED_VALUE"""),"Bernal Forum: Sharon Traweek")</f>
        <v>Bernal Forum: Sharon Traweek</v>
      </c>
      <c r="G30" s="97"/>
      <c r="H30" s="5" t="str">
        <f>IFERROR(__xludf.DUMMYFUNCTION("""COMPUTED_VALUE"""),"[Anonymized]")</f>
        <v>[Anonymized]</v>
      </c>
      <c r="I30" s="5" t="str">
        <f>IFERROR(__xludf.DUMMYFUNCTION("""COMPUTED_VALUE"""),"[Anonymized]")</f>
        <v>[Anonymized]</v>
      </c>
      <c r="J30" s="5" t="str">
        <f>IFERROR(__xludf.DUMMYFUNCTION("""COMPUTED_VALUE"""),"Published")</f>
        <v>Published</v>
      </c>
      <c r="K30" s="5">
        <f>IFERROR(__xludf.DUMMYFUNCTION("""COMPUTED_VALUE"""),7.2)</f>
        <v>7.2</v>
      </c>
      <c r="L30" s="5"/>
      <c r="M30" s="5"/>
    </row>
    <row r="31">
      <c r="A31" s="5">
        <f>IFERROR(__xludf.DUMMYFUNCTION("""COMPUTED_VALUE"""),1461.0)</f>
        <v>1461</v>
      </c>
      <c r="B31" s="5" t="str">
        <f>IFERROR(__xludf.DUMMYFUNCTION("""COMPUTED_VALUE"""),"[Anonymized]")</f>
        <v>[Anonymized]</v>
      </c>
      <c r="C31" s="5" t="str">
        <f>IFERROR(__xludf.DUMMYFUNCTION("""COMPUTED_VALUE"""),"[Anonymized]")</f>
        <v>[Anonymized]</v>
      </c>
      <c r="D31" s="5" t="str">
        <f>IFERROR(__xludf.DUMMYFUNCTION("""COMPUTED_VALUE"""),"Engagements")</f>
        <v>Engagements</v>
      </c>
      <c r="E31" s="5"/>
      <c r="F31" s="5"/>
      <c r="G31" s="97">
        <f>IFERROR(__xludf.DUMMYFUNCTION("""COMPUTED_VALUE"""),44592.0)</f>
        <v>44592</v>
      </c>
      <c r="H31" s="5" t="str">
        <f>IFERROR(__xludf.DUMMYFUNCTION("""COMPUTED_VALUE"""),"[Anonymized]")</f>
        <v>[Anonymized]</v>
      </c>
      <c r="I31" s="5" t="str">
        <f>IFERROR(__xludf.DUMMYFUNCTION("""COMPUTED_VALUE"""),"[Anonymized]")</f>
        <v>[Anonymized]</v>
      </c>
      <c r="J31" s="5" t="str">
        <f>IFERROR(__xludf.DUMMYFUNCTION("""COMPUTED_VALUE"""),"Published")</f>
        <v>Published</v>
      </c>
      <c r="K31" s="5">
        <f>IFERROR(__xludf.DUMMYFUNCTION("""COMPUTED_VALUE"""),8.1)</f>
        <v>8.1</v>
      </c>
      <c r="L31" s="5"/>
      <c r="M31" s="5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6.0"/>
    <col customWidth="1" min="2" max="2" width="19.5"/>
    <col customWidth="1" min="4" max="4" width="11.88"/>
    <col customWidth="1" min="5" max="5" width="10.63"/>
    <col customWidth="1" min="8" max="8" width="7.13"/>
    <col customWidth="1" min="9" max="9" width="7.25"/>
    <col customWidth="1" min="10" max="10" width="8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/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/>
      <c r="M1" s="4"/>
    </row>
    <row r="2">
      <c r="A2" s="5">
        <f>IFERROR(__xludf.DUMMYFUNCTION("FILTER(Backup!A:A,Backup!$J:$J = ""Declined"")"),467.0)</f>
        <v>467</v>
      </c>
      <c r="B2" s="5" t="str">
        <f>IFERROR(__xludf.DUMMYFUNCTION("FILTER(Backup!B:B,Backup!$J:$J = ""Declined"")"),"[Anonymized]")</f>
        <v>[Anonymized]</v>
      </c>
      <c r="C2" s="5" t="str">
        <f>IFERROR(__xludf.DUMMYFUNCTION("FILTER(Backup!C:C,Backup!$J:$J = ""Declined"")"),"[Anonymized]")</f>
        <v>[Anonymized]</v>
      </c>
      <c r="D2" s="5" t="str">
        <f>IFERROR(__xludf.DUMMYFUNCTION("FILTER(Backup!D:D,Backup!$J:$J = ""Declined"")"),"Thematic Collection")</f>
        <v>Thematic Collection</v>
      </c>
      <c r="E2" s="5" t="str">
        <f>IFERROR(__xludf.DUMMYFUNCTION("FILTER(Backup!E:E,Backup!$J:$J = ""Declined"")"),"")</f>
        <v/>
      </c>
      <c r="F2" s="5" t="str">
        <f>IFERROR(__xludf.DUMMYFUNCTION("FILTER(Backup!F:F,Backup!$J:$J = ""Declined"")"),"Science and Dissent")</f>
        <v>Science and Dissent</v>
      </c>
      <c r="G2" s="97">
        <f>IFERROR(__xludf.DUMMYFUNCTION("FILTER(Backup!G:G,Backup!$J:$J = ""Declined"")"),43956.0)</f>
        <v>43956</v>
      </c>
      <c r="H2" s="5" t="str">
        <f>IFERROR(__xludf.DUMMYFUNCTION("FILTER(Backup!H:H,Backup!$J:$J = ""Declined"")"),"[Anonymized]")</f>
        <v>[Anonymized]</v>
      </c>
      <c r="I2" s="5" t="str">
        <f>IFERROR(__xludf.DUMMYFUNCTION("FILTER(Backup!I:I,Backup!$J:$J = ""Declined"")"),"[Anonymized]")</f>
        <v>[Anonymized]</v>
      </c>
      <c r="J2" s="5" t="str">
        <f>IFERROR(__xludf.DUMMYFUNCTION("FILTER(Backup!J:J,Backup!$J:$J = ""Declined"")"),"Declined")</f>
        <v>Declined</v>
      </c>
      <c r="K2" s="5" t="str">
        <f>IFERROR(__xludf.DUMMYFUNCTION("FILTER(Backup!K:K,Backup!$J:$J = ""Declined"")"),"")</f>
        <v/>
      </c>
      <c r="L2" s="5"/>
      <c r="M2" s="5"/>
    </row>
    <row r="3">
      <c r="A3" s="5">
        <f>IFERROR(__xludf.DUMMYFUNCTION("""COMPUTED_VALUE"""),491.0)</f>
        <v>491</v>
      </c>
      <c r="B3" s="5" t="str">
        <f>IFERROR(__xludf.DUMMYFUNCTION("""COMPUTED_VALUE"""),"[Anonymized]")</f>
        <v>[Anonymized]</v>
      </c>
      <c r="C3" s="5" t="str">
        <f>IFERROR(__xludf.DUMMYFUNCTION("""COMPUTED_VALUE"""),"[Anonymized]")</f>
        <v>[Anonymized]</v>
      </c>
      <c r="D3" s="5" t="str">
        <f>IFERROR(__xludf.DUMMYFUNCTION("""COMPUTED_VALUE"""),"Thematic Collection")</f>
        <v>Thematic Collection</v>
      </c>
      <c r="E3" s="5"/>
      <c r="F3" s="5" t="str">
        <f>IFERROR(__xludf.DUMMYFUNCTION("""COMPUTED_VALUE"""),"Science and Dissent")</f>
        <v>Science and Dissent</v>
      </c>
      <c r="G3" s="97">
        <f>IFERROR(__xludf.DUMMYFUNCTION("""COMPUTED_VALUE"""),43959.0)</f>
        <v>43959</v>
      </c>
      <c r="H3" s="5" t="str">
        <f>IFERROR(__xludf.DUMMYFUNCTION("""COMPUTED_VALUE"""),"[Anonymized]")</f>
        <v>[Anonymized]</v>
      </c>
      <c r="I3" s="5" t="str">
        <f>IFERROR(__xludf.DUMMYFUNCTION("""COMPUTED_VALUE"""),"[Anonymized]")</f>
        <v>[Anonymized]</v>
      </c>
      <c r="J3" s="5" t="str">
        <f>IFERROR(__xludf.DUMMYFUNCTION("""COMPUTED_VALUE"""),"Declined")</f>
        <v>Declined</v>
      </c>
      <c r="K3" s="5"/>
      <c r="L3" s="5"/>
      <c r="M3" s="5"/>
    </row>
    <row r="4">
      <c r="A4" s="5">
        <f>IFERROR(__xludf.DUMMYFUNCTION("""COMPUTED_VALUE"""),647.0)</f>
        <v>647</v>
      </c>
      <c r="B4" s="5" t="str">
        <f>IFERROR(__xludf.DUMMYFUNCTION("""COMPUTED_VALUE"""),"[Anonymized]")</f>
        <v>[Anonymized]</v>
      </c>
      <c r="C4" s="5" t="str">
        <f>IFERROR(__xludf.DUMMYFUNCTION("""COMPUTED_VALUE"""),"[Anonymized]")</f>
        <v>[Anonymized]</v>
      </c>
      <c r="D4" s="5" t="str">
        <f>IFERROR(__xludf.DUMMYFUNCTION("""COMPUTED_VALUE"""),"Research Article")</f>
        <v>Research Article</v>
      </c>
      <c r="E4" s="5"/>
      <c r="F4" s="5"/>
      <c r="G4" s="97">
        <f>IFERROR(__xludf.DUMMYFUNCTION("""COMPUTED_VALUE"""),44073.0)</f>
        <v>44073</v>
      </c>
      <c r="H4" s="5" t="str">
        <f>IFERROR(__xludf.DUMMYFUNCTION("""COMPUTED_VALUE"""),"[Anonymized]")</f>
        <v>[Anonymized]</v>
      </c>
      <c r="I4" s="5" t="str">
        <f>IFERROR(__xludf.DUMMYFUNCTION("""COMPUTED_VALUE"""),"[Anonymized]")</f>
        <v>[Anonymized]</v>
      </c>
      <c r="J4" s="5" t="str">
        <f>IFERROR(__xludf.DUMMYFUNCTION("""COMPUTED_VALUE"""),"Declined")</f>
        <v>Declined</v>
      </c>
      <c r="K4" s="5"/>
      <c r="L4" s="5"/>
      <c r="M4" s="5"/>
    </row>
    <row r="5">
      <c r="A5" s="5">
        <f>IFERROR(__xludf.DUMMYFUNCTION("""COMPUTED_VALUE"""),697.0)</f>
        <v>697</v>
      </c>
      <c r="B5" s="5" t="str">
        <f>IFERROR(__xludf.DUMMYFUNCTION("""COMPUTED_VALUE"""),"[Anonymized]")</f>
        <v>[Anonymized]</v>
      </c>
      <c r="C5" s="5" t="str">
        <f>IFERROR(__xludf.DUMMYFUNCTION("""COMPUTED_VALUE"""),"[Anonymized]")</f>
        <v>[Anonymized]</v>
      </c>
      <c r="D5" s="5" t="str">
        <f>IFERROR(__xludf.DUMMYFUNCTION("""COMPUTED_VALUE"""),"Research Article")</f>
        <v>Research Article</v>
      </c>
      <c r="E5" s="5"/>
      <c r="F5" s="5"/>
      <c r="G5" s="97">
        <f>IFERROR(__xludf.DUMMYFUNCTION("""COMPUTED_VALUE"""),44098.0)</f>
        <v>44098</v>
      </c>
      <c r="H5" s="5" t="str">
        <f>IFERROR(__xludf.DUMMYFUNCTION("""COMPUTED_VALUE"""),"[Anonymized]")</f>
        <v>[Anonymized]</v>
      </c>
      <c r="I5" s="5" t="str">
        <f>IFERROR(__xludf.DUMMYFUNCTION("""COMPUTED_VALUE"""),"[Anonymized]")</f>
        <v>[Anonymized]</v>
      </c>
      <c r="J5" s="5" t="str">
        <f>IFERROR(__xludf.DUMMYFUNCTION("""COMPUTED_VALUE"""),"Declined")</f>
        <v>Declined</v>
      </c>
      <c r="K5" s="5" t="str">
        <f>IFERROR(__xludf.DUMMYFUNCTION("""COMPUTED_VALUE"""),"Resubmitted as #1123")</f>
        <v>Resubmitted as #1123</v>
      </c>
      <c r="L5" s="5"/>
      <c r="M5" s="5"/>
    </row>
    <row r="6">
      <c r="A6" s="5">
        <f>IFERROR(__xludf.DUMMYFUNCTION("""COMPUTED_VALUE"""),733.0)</f>
        <v>733</v>
      </c>
      <c r="B6" s="5" t="str">
        <f>IFERROR(__xludf.DUMMYFUNCTION("""COMPUTED_VALUE"""),"[Anonymized]")</f>
        <v>[Anonymized]</v>
      </c>
      <c r="C6" s="5" t="str">
        <f>IFERROR(__xludf.DUMMYFUNCTION("""COMPUTED_VALUE"""),"[Anonymized]")</f>
        <v>[Anonymized]</v>
      </c>
      <c r="D6" s="5" t="str">
        <f>IFERROR(__xludf.DUMMYFUNCTION("""COMPUTED_VALUE"""),"Research Article")</f>
        <v>Research Article</v>
      </c>
      <c r="E6" s="5"/>
      <c r="F6" s="5"/>
      <c r="G6" s="97">
        <f>IFERROR(__xludf.DUMMYFUNCTION("""COMPUTED_VALUE"""),44121.0)</f>
        <v>44121</v>
      </c>
      <c r="H6" s="5" t="str">
        <f>IFERROR(__xludf.DUMMYFUNCTION("""COMPUTED_VALUE"""),"[Anonymized]")</f>
        <v>[Anonymized]</v>
      </c>
      <c r="I6" s="5" t="str">
        <f>IFERROR(__xludf.DUMMYFUNCTION("""COMPUTED_VALUE"""),"[Anonymized]")</f>
        <v>[Anonymized]</v>
      </c>
      <c r="J6" s="5" t="str">
        <f>IFERROR(__xludf.DUMMYFUNCTION("""COMPUTED_VALUE"""),"Declined")</f>
        <v>Declined</v>
      </c>
      <c r="K6" s="5"/>
      <c r="L6" s="5"/>
      <c r="M6" s="5"/>
    </row>
    <row r="7">
      <c r="A7" s="5">
        <f>IFERROR(__xludf.DUMMYFUNCTION("""COMPUTED_VALUE"""),735.0)</f>
        <v>735</v>
      </c>
      <c r="B7" s="5" t="str">
        <f>IFERROR(__xludf.DUMMYFUNCTION("""COMPUTED_VALUE"""),"[Anonymized]")</f>
        <v>[Anonymized]</v>
      </c>
      <c r="C7" s="5" t="str">
        <f>IFERROR(__xludf.DUMMYFUNCTION("""COMPUTED_VALUE"""),"[Anonymized]")</f>
        <v>[Anonymized]</v>
      </c>
      <c r="D7" s="5" t="str">
        <f>IFERROR(__xludf.DUMMYFUNCTION("""COMPUTED_VALUE"""),"Research Article")</f>
        <v>Research Article</v>
      </c>
      <c r="E7" s="5"/>
      <c r="F7" s="5"/>
      <c r="G7" s="97">
        <f>IFERROR(__xludf.DUMMYFUNCTION("""COMPUTED_VALUE"""),44124.0)</f>
        <v>44124</v>
      </c>
      <c r="H7" s="5" t="str">
        <f>IFERROR(__xludf.DUMMYFUNCTION("""COMPUTED_VALUE"""),"[Anonymized]")</f>
        <v>[Anonymized]</v>
      </c>
      <c r="I7" s="5" t="str">
        <f>IFERROR(__xludf.DUMMYFUNCTION("""COMPUTED_VALUE"""),"[Anonymized]")</f>
        <v>[Anonymized]</v>
      </c>
      <c r="J7" s="5" t="str">
        <f>IFERROR(__xludf.DUMMYFUNCTION("""COMPUTED_VALUE"""),"Declined")</f>
        <v>Declined</v>
      </c>
      <c r="K7" s="5"/>
      <c r="L7" s="5"/>
      <c r="M7" s="5"/>
    </row>
    <row r="8">
      <c r="A8" s="5">
        <f>IFERROR(__xludf.DUMMYFUNCTION("""COMPUTED_VALUE"""),799.0)</f>
        <v>799</v>
      </c>
      <c r="B8" s="5" t="str">
        <f>IFERROR(__xludf.DUMMYFUNCTION("""COMPUTED_VALUE"""),"[Anonymized]")</f>
        <v>[Anonymized]</v>
      </c>
      <c r="C8" s="5" t="str">
        <f>IFERROR(__xludf.DUMMYFUNCTION("""COMPUTED_VALUE"""),"[Anonymized]")</f>
        <v>[Anonymized]</v>
      </c>
      <c r="D8" s="5" t="str">
        <f>IFERROR(__xludf.DUMMYFUNCTION("""COMPUTED_VALUE"""),"Research Article")</f>
        <v>Research Article</v>
      </c>
      <c r="E8" s="5"/>
      <c r="F8" s="5"/>
      <c r="G8" s="97">
        <f>IFERROR(__xludf.DUMMYFUNCTION("""COMPUTED_VALUE"""),44524.0)</f>
        <v>44524</v>
      </c>
      <c r="H8" s="5" t="str">
        <f>IFERROR(__xludf.DUMMYFUNCTION("""COMPUTED_VALUE"""),"[Anonymized]")</f>
        <v>[Anonymized]</v>
      </c>
      <c r="I8" s="5" t="str">
        <f>IFERROR(__xludf.DUMMYFUNCTION("""COMPUTED_VALUE"""),"[Anonymized]")</f>
        <v>[Anonymized]</v>
      </c>
      <c r="J8" s="5" t="str">
        <f>IFERROR(__xludf.DUMMYFUNCTION("""COMPUTED_VALUE"""),"Declined")</f>
        <v>Declined</v>
      </c>
      <c r="K8" s="5"/>
      <c r="L8" s="5"/>
      <c r="M8" s="5"/>
    </row>
    <row r="9">
      <c r="A9" s="5">
        <f>IFERROR(__xludf.DUMMYFUNCTION("""COMPUTED_VALUE"""),863.0)</f>
        <v>863</v>
      </c>
      <c r="B9" s="5" t="str">
        <f>IFERROR(__xludf.DUMMYFUNCTION("""COMPUTED_VALUE"""),"[Anonymized]")</f>
        <v>[Anonymized]</v>
      </c>
      <c r="C9" s="5" t="str">
        <f>IFERROR(__xludf.DUMMYFUNCTION("""COMPUTED_VALUE"""),"[Anonymized]")</f>
        <v>[Anonymized]</v>
      </c>
      <c r="D9" s="5"/>
      <c r="E9" s="5"/>
      <c r="F9" s="5"/>
      <c r="G9" s="97">
        <f>IFERROR(__xludf.DUMMYFUNCTION("""COMPUTED_VALUE"""),44190.0)</f>
        <v>44190</v>
      </c>
      <c r="H9" s="5" t="str">
        <f>IFERROR(__xludf.DUMMYFUNCTION("""COMPUTED_VALUE"""),"[Anonymized]")</f>
        <v>[Anonymized]</v>
      </c>
      <c r="I9" s="5" t="str">
        <f>IFERROR(__xludf.DUMMYFUNCTION("""COMPUTED_VALUE"""),"[Anonymized]")</f>
        <v>[Anonymized]</v>
      </c>
      <c r="J9" s="5" t="str">
        <f>IFERROR(__xludf.DUMMYFUNCTION("""COMPUTED_VALUE"""),"Declined")</f>
        <v>Declined</v>
      </c>
      <c r="K9" s="5"/>
      <c r="L9" s="5"/>
      <c r="M9" s="5"/>
    </row>
    <row r="10">
      <c r="A10" s="5">
        <f>IFERROR(__xludf.DUMMYFUNCTION("""COMPUTED_VALUE"""),923.0)</f>
        <v>923</v>
      </c>
      <c r="B10" s="5" t="str">
        <f>IFERROR(__xludf.DUMMYFUNCTION("""COMPUTED_VALUE"""),"[Anonymized]")</f>
        <v>[Anonymized]</v>
      </c>
      <c r="C10" s="5" t="str">
        <f>IFERROR(__xludf.DUMMYFUNCTION("""COMPUTED_VALUE"""),"[Anonymized]")</f>
        <v>[Anonymized]</v>
      </c>
      <c r="D10" s="5" t="str">
        <f>IFERROR(__xludf.DUMMYFUNCTION("""COMPUTED_VALUE"""),"Critical Engagements")</f>
        <v>Critical Engagements</v>
      </c>
      <c r="E10" s="5"/>
      <c r="F10" s="5"/>
      <c r="G10" s="97">
        <f>IFERROR(__xludf.DUMMYFUNCTION("""COMPUTED_VALUE"""),44222.0)</f>
        <v>44222</v>
      </c>
      <c r="H10" s="5" t="str">
        <f>IFERROR(__xludf.DUMMYFUNCTION("""COMPUTED_VALUE"""),"[Anonymized]")</f>
        <v>[Anonymized]</v>
      </c>
      <c r="I10" s="5" t="str">
        <f>IFERROR(__xludf.DUMMYFUNCTION("""COMPUTED_VALUE"""),"[Anonymized]")</f>
        <v>[Anonymized]</v>
      </c>
      <c r="J10" s="5" t="str">
        <f>IFERROR(__xludf.DUMMYFUNCTION("""COMPUTED_VALUE"""),"Declined")</f>
        <v>Declined</v>
      </c>
      <c r="K10" s="5"/>
      <c r="L10" s="5"/>
      <c r="M10" s="5"/>
    </row>
    <row r="11">
      <c r="A11" s="5">
        <f>IFERROR(__xludf.DUMMYFUNCTION("""COMPUTED_VALUE"""),927.0)</f>
        <v>927</v>
      </c>
      <c r="B11" s="5" t="str">
        <f>IFERROR(__xludf.DUMMYFUNCTION("""COMPUTED_VALUE"""),"[Anonymized]")</f>
        <v>[Anonymized]</v>
      </c>
      <c r="C11" s="5" t="str">
        <f>IFERROR(__xludf.DUMMYFUNCTION("""COMPUTED_VALUE"""),"[Anonymized]")</f>
        <v>[Anonymized]</v>
      </c>
      <c r="D11" s="5" t="str">
        <f>IFERROR(__xludf.DUMMYFUNCTION("""COMPUTED_VALUE"""),"Research Article")</f>
        <v>Research Article</v>
      </c>
      <c r="E11" s="5"/>
      <c r="F11" s="5"/>
      <c r="G11" s="97">
        <f>IFERROR(__xludf.DUMMYFUNCTION("""COMPUTED_VALUE"""),44221.0)</f>
        <v>44221</v>
      </c>
      <c r="H11" s="5" t="str">
        <f>IFERROR(__xludf.DUMMYFUNCTION("""COMPUTED_VALUE"""),"[Anonymized]")</f>
        <v>[Anonymized]</v>
      </c>
      <c r="I11" s="5" t="str">
        <f>IFERROR(__xludf.DUMMYFUNCTION("""COMPUTED_VALUE"""),"[Anonymized]")</f>
        <v>[Anonymized]</v>
      </c>
      <c r="J11" s="5" t="str">
        <f>IFERROR(__xludf.DUMMYFUNCTION("""COMPUTED_VALUE"""),"Declined")</f>
        <v>Declined</v>
      </c>
      <c r="K11" s="5"/>
      <c r="L11" s="5"/>
      <c r="M11" s="5"/>
    </row>
    <row r="12">
      <c r="A12" s="5">
        <f>IFERROR(__xludf.DUMMYFUNCTION("""COMPUTED_VALUE"""),937.0)</f>
        <v>937</v>
      </c>
      <c r="B12" s="5" t="str">
        <f>IFERROR(__xludf.DUMMYFUNCTION("""COMPUTED_VALUE"""),"[Anonymized]")</f>
        <v>[Anonymized]</v>
      </c>
      <c r="C12" s="5" t="str">
        <f>IFERROR(__xludf.DUMMYFUNCTION("""COMPUTED_VALUE"""),"[Anonymized]")</f>
        <v>[Anonymized]</v>
      </c>
      <c r="D12" s="5" t="str">
        <f>IFERROR(__xludf.DUMMYFUNCTION("""COMPUTED_VALUE"""),"Research Article")</f>
        <v>Research Article</v>
      </c>
      <c r="E12" s="5"/>
      <c r="F12" s="5"/>
      <c r="G12" s="97">
        <f>IFERROR(__xludf.DUMMYFUNCTION("""COMPUTED_VALUE"""),44232.0)</f>
        <v>44232</v>
      </c>
      <c r="H12" s="5" t="str">
        <f>IFERROR(__xludf.DUMMYFUNCTION("""COMPUTED_VALUE"""),"[Anonymized]")</f>
        <v>[Anonymized]</v>
      </c>
      <c r="I12" s="5" t="str">
        <f>IFERROR(__xludf.DUMMYFUNCTION("""COMPUTED_VALUE"""),"[Anonymized]")</f>
        <v>[Anonymized]</v>
      </c>
      <c r="J12" s="5" t="str">
        <f>IFERROR(__xludf.DUMMYFUNCTION("""COMPUTED_VALUE"""),"Declined")</f>
        <v>Declined</v>
      </c>
      <c r="K12" s="5"/>
      <c r="L12" s="5"/>
      <c r="M12" s="5"/>
    </row>
    <row r="13">
      <c r="A13" s="5">
        <f>IFERROR(__xludf.DUMMYFUNCTION("""COMPUTED_VALUE"""),963.0)</f>
        <v>963</v>
      </c>
      <c r="B13" s="5" t="str">
        <f>IFERROR(__xludf.DUMMYFUNCTION("""COMPUTED_VALUE"""),"[Anonymized]")</f>
        <v>[Anonymized]</v>
      </c>
      <c r="C13" s="5" t="str">
        <f>IFERROR(__xludf.DUMMYFUNCTION("""COMPUTED_VALUE"""),"[Anonymized]")</f>
        <v>[Anonymized]</v>
      </c>
      <c r="D13" s="5" t="str">
        <f>IFERROR(__xludf.DUMMYFUNCTION("""COMPUTED_VALUE"""),"Research Article")</f>
        <v>Research Article</v>
      </c>
      <c r="E13" s="5"/>
      <c r="F13" s="5"/>
      <c r="G13" s="97">
        <f>IFERROR(__xludf.DUMMYFUNCTION("""COMPUTED_VALUE"""),44254.0)</f>
        <v>44254</v>
      </c>
      <c r="H13" s="5" t="str">
        <f>IFERROR(__xludf.DUMMYFUNCTION("""COMPUTED_VALUE"""),"[Anonymized]")</f>
        <v>[Anonymized]</v>
      </c>
      <c r="I13" s="5" t="str">
        <f>IFERROR(__xludf.DUMMYFUNCTION("""COMPUTED_VALUE"""),"[Anonymized]")</f>
        <v>[Anonymized]</v>
      </c>
      <c r="J13" s="5" t="str">
        <f>IFERROR(__xludf.DUMMYFUNCTION("""COMPUTED_VALUE"""),"Declined")</f>
        <v>Declined</v>
      </c>
      <c r="K13" s="5"/>
      <c r="L13" s="5"/>
      <c r="M13" s="5"/>
    </row>
    <row r="14">
      <c r="A14" s="5">
        <f>IFERROR(__xludf.DUMMYFUNCTION("""COMPUTED_VALUE"""),979.0)</f>
        <v>979</v>
      </c>
      <c r="B14" s="5" t="str">
        <f>IFERROR(__xludf.DUMMYFUNCTION("""COMPUTED_VALUE"""),"[Anonymized]")</f>
        <v>[Anonymized]</v>
      </c>
      <c r="C14" s="5" t="str">
        <f>IFERROR(__xludf.DUMMYFUNCTION("""COMPUTED_VALUE"""),"[Anonymized]")</f>
        <v>[Anonymized]</v>
      </c>
      <c r="D14" s="5" t="str">
        <f>IFERROR(__xludf.DUMMYFUNCTION("""COMPUTED_VALUE"""),"Video")</f>
        <v>Video</v>
      </c>
      <c r="E14" s="5"/>
      <c r="F14" s="5"/>
      <c r="G14" s="97">
        <f>IFERROR(__xludf.DUMMYFUNCTION("""COMPUTED_VALUE"""),44268.0)</f>
        <v>44268</v>
      </c>
      <c r="H14" s="5" t="str">
        <f>IFERROR(__xludf.DUMMYFUNCTION("""COMPUTED_VALUE"""),"[Anonymized]")</f>
        <v>[Anonymized]</v>
      </c>
      <c r="I14" s="5" t="str">
        <f>IFERROR(__xludf.DUMMYFUNCTION("""COMPUTED_VALUE"""),"[Anonymized]")</f>
        <v>[Anonymized]</v>
      </c>
      <c r="J14" s="5" t="str">
        <f>IFERROR(__xludf.DUMMYFUNCTION("""COMPUTED_VALUE"""),"Declined")</f>
        <v>Declined</v>
      </c>
      <c r="K14" s="5"/>
      <c r="L14" s="5"/>
      <c r="M14" s="5"/>
    </row>
    <row r="15">
      <c r="A15" s="5">
        <f>IFERROR(__xludf.DUMMYFUNCTION("""COMPUTED_VALUE"""),983.0)</f>
        <v>983</v>
      </c>
      <c r="B15" s="5" t="str">
        <f>IFERROR(__xludf.DUMMYFUNCTION("""COMPUTED_VALUE"""),"[Anonymized]")</f>
        <v>[Anonymized]</v>
      </c>
      <c r="C15" s="5" t="str">
        <f>IFERROR(__xludf.DUMMYFUNCTION("""COMPUTED_VALUE"""),"[Anonymized]")</f>
        <v>[Anonymized]</v>
      </c>
      <c r="D15" s="5" t="str">
        <f>IFERROR(__xludf.DUMMYFUNCTION("""COMPUTED_VALUE"""),"Research Article")</f>
        <v>Research Article</v>
      </c>
      <c r="E15" s="5"/>
      <c r="F15" s="5"/>
      <c r="G15" s="97">
        <f>IFERROR(__xludf.DUMMYFUNCTION("""COMPUTED_VALUE"""),44270.0)</f>
        <v>44270</v>
      </c>
      <c r="H15" s="5" t="str">
        <f>IFERROR(__xludf.DUMMYFUNCTION("""COMPUTED_VALUE"""),"[Anonymized]")</f>
        <v>[Anonymized]</v>
      </c>
      <c r="I15" s="5" t="str">
        <f>IFERROR(__xludf.DUMMYFUNCTION("""COMPUTED_VALUE"""),"[Anonymized]")</f>
        <v>[Anonymized]</v>
      </c>
      <c r="J15" s="5" t="str">
        <f>IFERROR(__xludf.DUMMYFUNCTION("""COMPUTED_VALUE"""),"Declined")</f>
        <v>Declined</v>
      </c>
      <c r="K15" s="5"/>
      <c r="L15" s="5"/>
      <c r="M15" s="5"/>
    </row>
    <row r="16">
      <c r="A16" s="5">
        <f>IFERROR(__xludf.DUMMYFUNCTION("""COMPUTED_VALUE"""),999.0)</f>
        <v>999</v>
      </c>
      <c r="B16" s="5" t="str">
        <f>IFERROR(__xludf.DUMMYFUNCTION("""COMPUTED_VALUE"""),"[Anonymized]")</f>
        <v>[Anonymized]</v>
      </c>
      <c r="C16" s="5" t="str">
        <f>IFERROR(__xludf.DUMMYFUNCTION("""COMPUTED_VALUE"""),"[Anonymized]")</f>
        <v>[Anonymized]</v>
      </c>
      <c r="D16" s="5" t="str">
        <f>IFERROR(__xludf.DUMMYFUNCTION("""COMPUTED_VALUE"""),"Research Article")</f>
        <v>Research Article</v>
      </c>
      <c r="E16" s="5"/>
      <c r="F16" s="5"/>
      <c r="G16" s="97">
        <f>IFERROR(__xludf.DUMMYFUNCTION("""COMPUTED_VALUE"""),44277.0)</f>
        <v>44277</v>
      </c>
      <c r="H16" s="5" t="str">
        <f>IFERROR(__xludf.DUMMYFUNCTION("""COMPUTED_VALUE"""),"[Anonymized]")</f>
        <v>[Anonymized]</v>
      </c>
      <c r="I16" s="5" t="str">
        <f>IFERROR(__xludf.DUMMYFUNCTION("""COMPUTED_VALUE"""),"[Anonymized]")</f>
        <v>[Anonymized]</v>
      </c>
      <c r="J16" s="5" t="str">
        <f>IFERROR(__xludf.DUMMYFUNCTION("""COMPUTED_VALUE"""),"Declined")</f>
        <v>Declined</v>
      </c>
      <c r="K16" s="5"/>
      <c r="L16" s="5"/>
      <c r="M16" s="5"/>
    </row>
    <row r="17">
      <c r="A17" s="5">
        <f>IFERROR(__xludf.DUMMYFUNCTION("""COMPUTED_VALUE"""),1013.0)</f>
        <v>1013</v>
      </c>
      <c r="B17" s="5" t="str">
        <f>IFERROR(__xludf.DUMMYFUNCTION("""COMPUTED_VALUE"""),"[Anonymized]")</f>
        <v>[Anonymized]</v>
      </c>
      <c r="C17" s="5" t="str">
        <f>IFERROR(__xludf.DUMMYFUNCTION("""COMPUTED_VALUE"""),"[Anonymized]")</f>
        <v>[Anonymized]</v>
      </c>
      <c r="D17" s="5" t="str">
        <f>IFERROR(__xludf.DUMMYFUNCTION("""COMPUTED_VALUE"""),"Research Article")</f>
        <v>Research Article</v>
      </c>
      <c r="E17" s="5"/>
      <c r="F17" s="5"/>
      <c r="G17" s="97">
        <f>IFERROR(__xludf.DUMMYFUNCTION("""COMPUTED_VALUE"""),44289.0)</f>
        <v>44289</v>
      </c>
      <c r="H17" s="5" t="str">
        <f>IFERROR(__xludf.DUMMYFUNCTION("""COMPUTED_VALUE"""),"[Anonymized]")</f>
        <v>[Anonymized]</v>
      </c>
      <c r="I17" s="5" t="str">
        <f>IFERROR(__xludf.DUMMYFUNCTION("""COMPUTED_VALUE"""),"[Anonymized]")</f>
        <v>[Anonymized]</v>
      </c>
      <c r="J17" s="5" t="str">
        <f>IFERROR(__xludf.DUMMYFUNCTION("""COMPUTED_VALUE"""),"Declined")</f>
        <v>Declined</v>
      </c>
      <c r="K17" s="5"/>
      <c r="L17" s="5"/>
      <c r="M17" s="5"/>
    </row>
    <row r="18">
      <c r="A18" s="5">
        <f>IFERROR(__xludf.DUMMYFUNCTION("""COMPUTED_VALUE"""),1017.0)</f>
        <v>1017</v>
      </c>
      <c r="B18" s="5" t="str">
        <f>IFERROR(__xludf.DUMMYFUNCTION("""COMPUTED_VALUE"""),"[Anonymized]")</f>
        <v>[Anonymized]</v>
      </c>
      <c r="C18" s="5" t="str">
        <f>IFERROR(__xludf.DUMMYFUNCTION("""COMPUTED_VALUE"""),"[Anonymized]")</f>
        <v>[Anonymized]</v>
      </c>
      <c r="D18" s="5" t="str">
        <f>IFERROR(__xludf.DUMMYFUNCTION("""COMPUTED_VALUE"""),"Engagements")</f>
        <v>Engagements</v>
      </c>
      <c r="E18" s="5"/>
      <c r="F18" s="5"/>
      <c r="G18" s="97">
        <f>IFERROR(__xludf.DUMMYFUNCTION("""COMPUTED_VALUE"""),44294.0)</f>
        <v>44294</v>
      </c>
      <c r="H18" s="5" t="str">
        <f>IFERROR(__xludf.DUMMYFUNCTION("""COMPUTED_VALUE"""),"[Anonymized]")</f>
        <v>[Anonymized]</v>
      </c>
      <c r="I18" s="5" t="str">
        <f>IFERROR(__xludf.DUMMYFUNCTION("""COMPUTED_VALUE"""),"[Anonymized]")</f>
        <v>[Anonymized]</v>
      </c>
      <c r="J18" s="5" t="str">
        <f>IFERROR(__xludf.DUMMYFUNCTION("""COMPUTED_VALUE"""),"Declined")</f>
        <v>Declined</v>
      </c>
      <c r="K18" s="5"/>
      <c r="L18" s="5"/>
      <c r="M18" s="5"/>
    </row>
    <row r="19">
      <c r="A19" s="5">
        <f>IFERROR(__xludf.DUMMYFUNCTION("""COMPUTED_VALUE"""),1123.0)</f>
        <v>1123</v>
      </c>
      <c r="B19" s="5" t="str">
        <f>IFERROR(__xludf.DUMMYFUNCTION("""COMPUTED_VALUE"""),"[Anonymized]")</f>
        <v>[Anonymized]</v>
      </c>
      <c r="C19" s="5" t="str">
        <f>IFERROR(__xludf.DUMMYFUNCTION("""COMPUTED_VALUE"""),"[Anonymized]")</f>
        <v>[Anonymized]</v>
      </c>
      <c r="D19" s="5" t="str">
        <f>IFERROR(__xludf.DUMMYFUNCTION("""COMPUTED_VALUE"""),"Research Article")</f>
        <v>Research Article</v>
      </c>
      <c r="E19" s="5"/>
      <c r="F19" s="5"/>
      <c r="G19" s="97">
        <f>IFERROR(__xludf.DUMMYFUNCTION("""COMPUTED_VALUE"""),44358.0)</f>
        <v>44358</v>
      </c>
      <c r="H19" s="5" t="str">
        <f>IFERROR(__xludf.DUMMYFUNCTION("""COMPUTED_VALUE"""),"[Anonymized]")</f>
        <v>[Anonymized]</v>
      </c>
      <c r="I19" s="5" t="str">
        <f>IFERROR(__xludf.DUMMYFUNCTION("""COMPUTED_VALUE"""),"[Anonymized]")</f>
        <v>[Anonymized]</v>
      </c>
      <c r="J19" s="5" t="str">
        <f>IFERROR(__xludf.DUMMYFUNCTION("""COMPUTED_VALUE"""),"Declined")</f>
        <v>Declined</v>
      </c>
      <c r="K19" s="5"/>
      <c r="L19" s="5"/>
      <c r="M19" s="5"/>
    </row>
    <row r="20">
      <c r="A20" s="5">
        <f>IFERROR(__xludf.DUMMYFUNCTION("""COMPUTED_VALUE"""),1205.0)</f>
        <v>1205</v>
      </c>
      <c r="B20" s="5" t="str">
        <f>IFERROR(__xludf.DUMMYFUNCTION("""COMPUTED_VALUE"""),"[Anonymized]")</f>
        <v>[Anonymized]</v>
      </c>
      <c r="C20" s="5" t="str">
        <f>IFERROR(__xludf.DUMMYFUNCTION("""COMPUTED_VALUE"""),"[Anonymized]")</f>
        <v>[Anonymized]</v>
      </c>
      <c r="D20" s="5" t="str">
        <f>IFERROR(__xludf.DUMMYFUNCTION("""COMPUTED_VALUE"""),"Research Article")</f>
        <v>Research Article</v>
      </c>
      <c r="E20" s="5"/>
      <c r="F20" s="5"/>
      <c r="G20" s="97">
        <f>IFERROR(__xludf.DUMMYFUNCTION("""COMPUTED_VALUE"""),44412.0)</f>
        <v>44412</v>
      </c>
      <c r="H20" s="5" t="str">
        <f>IFERROR(__xludf.DUMMYFUNCTION("""COMPUTED_VALUE"""),"[Anonymized]")</f>
        <v>[Anonymized]</v>
      </c>
      <c r="I20" s="5" t="str">
        <f>IFERROR(__xludf.DUMMYFUNCTION("""COMPUTED_VALUE"""),"[Anonymized]")</f>
        <v>[Anonymized]</v>
      </c>
      <c r="J20" s="5" t="str">
        <f>IFERROR(__xludf.DUMMYFUNCTION("""COMPUTED_VALUE"""),"Declined")</f>
        <v>Declined</v>
      </c>
      <c r="K20" s="5"/>
      <c r="L20" s="5"/>
      <c r="M20" s="5"/>
    </row>
    <row r="21">
      <c r="A21" s="5">
        <f>IFERROR(__xludf.DUMMYFUNCTION("""COMPUTED_VALUE"""),1213.0)</f>
        <v>1213</v>
      </c>
      <c r="B21" s="5" t="str">
        <f>IFERROR(__xludf.DUMMYFUNCTION("""COMPUTED_VALUE"""),"[Anonymized]")</f>
        <v>[Anonymized]</v>
      </c>
      <c r="C21" s="5" t="str">
        <f>IFERROR(__xludf.DUMMYFUNCTION("""COMPUTED_VALUE"""),"[Anonymized]")</f>
        <v>[Anonymized]</v>
      </c>
      <c r="D21" s="5" t="str">
        <f>IFERROR(__xludf.DUMMYFUNCTION("""COMPUTED_VALUE"""),"Research Article")</f>
        <v>Research Article</v>
      </c>
      <c r="E21" s="5"/>
      <c r="F21" s="5"/>
      <c r="G21" s="97">
        <f>IFERROR(__xludf.DUMMYFUNCTION("""COMPUTED_VALUE"""),44414.0)</f>
        <v>44414</v>
      </c>
      <c r="H21" s="5" t="str">
        <f>IFERROR(__xludf.DUMMYFUNCTION("""COMPUTED_VALUE"""),"[Anonymized]")</f>
        <v>[Anonymized]</v>
      </c>
      <c r="I21" s="5" t="str">
        <f>IFERROR(__xludf.DUMMYFUNCTION("""COMPUTED_VALUE"""),"[Anonymized]")</f>
        <v>[Anonymized]</v>
      </c>
      <c r="J21" s="5" t="str">
        <f>IFERROR(__xludf.DUMMYFUNCTION("""COMPUTED_VALUE"""),"Declined")</f>
        <v>Declined</v>
      </c>
      <c r="K21" s="5" t="str">
        <f>IFERROR(__xludf.DUMMYFUNCTION("""COMPUTED_VALUE"""),"Withdrawn")</f>
        <v>Withdrawn</v>
      </c>
      <c r="L21" s="5"/>
      <c r="M21" s="5"/>
    </row>
    <row r="22">
      <c r="A22" s="5">
        <f>IFERROR(__xludf.DUMMYFUNCTION("""COMPUTED_VALUE"""),1219.0)</f>
        <v>1219</v>
      </c>
      <c r="B22" s="5" t="str">
        <f>IFERROR(__xludf.DUMMYFUNCTION("""COMPUTED_VALUE"""),"[Anonymized]")</f>
        <v>[Anonymized]</v>
      </c>
      <c r="C22" s="5" t="str">
        <f>IFERROR(__xludf.DUMMYFUNCTION("""COMPUTED_VALUE"""),"[Anonymized]")</f>
        <v>[Anonymized]</v>
      </c>
      <c r="D22" s="5" t="str">
        <f>IFERROR(__xludf.DUMMYFUNCTION("""COMPUTED_VALUE"""),"Research Article")</f>
        <v>Research Article</v>
      </c>
      <c r="E22" s="5"/>
      <c r="F22" s="5"/>
      <c r="G22" s="97">
        <f>IFERROR(__xludf.DUMMYFUNCTION("""COMPUTED_VALUE"""),44415.0)</f>
        <v>44415</v>
      </c>
      <c r="H22" s="5" t="str">
        <f>IFERROR(__xludf.DUMMYFUNCTION("""COMPUTED_VALUE"""),"[Anonymized]")</f>
        <v>[Anonymized]</v>
      </c>
      <c r="I22" s="5" t="str">
        <f>IFERROR(__xludf.DUMMYFUNCTION("""COMPUTED_VALUE"""),"[Anonymized]")</f>
        <v>[Anonymized]</v>
      </c>
      <c r="J22" s="5" t="str">
        <f>IFERROR(__xludf.DUMMYFUNCTION("""COMPUTED_VALUE"""),"Declined")</f>
        <v>Declined</v>
      </c>
      <c r="K22" s="5"/>
      <c r="L22" s="5"/>
      <c r="M22" s="5"/>
    </row>
    <row r="23">
      <c r="A23" s="5">
        <f>IFERROR(__xludf.DUMMYFUNCTION("""COMPUTED_VALUE"""),1225.0)</f>
        <v>1225</v>
      </c>
      <c r="B23" s="5" t="str">
        <f>IFERROR(__xludf.DUMMYFUNCTION("""COMPUTED_VALUE"""),"[Anonymized]")</f>
        <v>[Anonymized]</v>
      </c>
      <c r="C23" s="5" t="str">
        <f>IFERROR(__xludf.DUMMYFUNCTION("""COMPUTED_VALUE"""),"[Anonymized]")</f>
        <v>[Anonymized]</v>
      </c>
      <c r="D23" s="5" t="str">
        <f>IFERROR(__xludf.DUMMYFUNCTION("""COMPUTED_VALUE"""),"Research Article")</f>
        <v>Research Article</v>
      </c>
      <c r="E23" s="5"/>
      <c r="F23" s="5"/>
      <c r="G23" s="97">
        <f>IFERROR(__xludf.DUMMYFUNCTION("""COMPUTED_VALUE"""),44428.0)</f>
        <v>44428</v>
      </c>
      <c r="H23" s="5" t="str">
        <f>IFERROR(__xludf.DUMMYFUNCTION("""COMPUTED_VALUE"""),"[Anonymized]")</f>
        <v>[Anonymized]</v>
      </c>
      <c r="I23" s="5" t="str">
        <f>IFERROR(__xludf.DUMMYFUNCTION("""COMPUTED_VALUE"""),"[Anonymized]")</f>
        <v>[Anonymized]</v>
      </c>
      <c r="J23" s="5" t="str">
        <f>IFERROR(__xludf.DUMMYFUNCTION("""COMPUTED_VALUE"""),"Declined")</f>
        <v>Declined</v>
      </c>
      <c r="K23" s="5"/>
      <c r="L23" s="5"/>
      <c r="M23" s="5"/>
    </row>
    <row r="24">
      <c r="A24" s="5">
        <f>IFERROR(__xludf.DUMMYFUNCTION("""COMPUTED_VALUE"""),1295.0)</f>
        <v>1295</v>
      </c>
      <c r="B24" s="5" t="str">
        <f>IFERROR(__xludf.DUMMYFUNCTION("""COMPUTED_VALUE"""),"[Anonymized]")</f>
        <v>[Anonymized]</v>
      </c>
      <c r="C24" s="5" t="str">
        <f>IFERROR(__xludf.DUMMYFUNCTION("""COMPUTED_VALUE"""),"[Anonymized]")</f>
        <v>[Anonymized]</v>
      </c>
      <c r="D24" s="5" t="str">
        <f>IFERROR(__xludf.DUMMYFUNCTION("""COMPUTED_VALUE"""),"Engagements")</f>
        <v>Engagements</v>
      </c>
      <c r="E24" s="5"/>
      <c r="F24" s="5"/>
      <c r="G24" s="97">
        <f>IFERROR(__xludf.DUMMYFUNCTION("""COMPUTED_VALUE"""),44477.0)</f>
        <v>44477</v>
      </c>
      <c r="H24" s="5" t="str">
        <f>IFERROR(__xludf.DUMMYFUNCTION("""COMPUTED_VALUE"""),"[Anonymized]")</f>
        <v>[Anonymized]</v>
      </c>
      <c r="I24" s="5" t="str">
        <f>IFERROR(__xludf.DUMMYFUNCTION("""COMPUTED_VALUE"""),"[Anonymized]")</f>
        <v>[Anonymized]</v>
      </c>
      <c r="J24" s="5" t="str">
        <f>IFERROR(__xludf.DUMMYFUNCTION("""COMPUTED_VALUE"""),"Declined")</f>
        <v>Declined</v>
      </c>
      <c r="K24" s="5"/>
      <c r="L24" s="5"/>
      <c r="M24" s="5"/>
    </row>
    <row r="25">
      <c r="A25" s="5">
        <f>IFERROR(__xludf.DUMMYFUNCTION("""COMPUTED_VALUE"""),1345.0)</f>
        <v>1345</v>
      </c>
      <c r="B25" s="5" t="str">
        <f>IFERROR(__xludf.DUMMYFUNCTION("""COMPUTED_VALUE"""),"[Anonymized]")</f>
        <v>[Anonymized]</v>
      </c>
      <c r="C25" s="5" t="str">
        <f>IFERROR(__xludf.DUMMYFUNCTION("""COMPUTED_VALUE"""),"[Anonymized]")</f>
        <v>[Anonymized]</v>
      </c>
      <c r="D25" s="5" t="str">
        <f>IFERROR(__xludf.DUMMYFUNCTION("""COMPUTED_VALUE"""),"Research Article")</f>
        <v>Research Article</v>
      </c>
      <c r="E25" s="5"/>
      <c r="F25" s="5"/>
      <c r="G25" s="97">
        <f>IFERROR(__xludf.DUMMYFUNCTION("""COMPUTED_VALUE"""),44509.0)</f>
        <v>44509</v>
      </c>
      <c r="H25" s="5" t="str">
        <f>IFERROR(__xludf.DUMMYFUNCTION("""COMPUTED_VALUE"""),"[Anonymized]")</f>
        <v>[Anonymized]</v>
      </c>
      <c r="I25" s="5" t="str">
        <f>IFERROR(__xludf.DUMMYFUNCTION("""COMPUTED_VALUE"""),"[Anonymized]")</f>
        <v>[Anonymized]</v>
      </c>
      <c r="J25" s="5" t="str">
        <f>IFERROR(__xludf.DUMMYFUNCTION("""COMPUTED_VALUE"""),"Declined")</f>
        <v>Declined</v>
      </c>
      <c r="K25" s="5"/>
      <c r="L25" s="5"/>
      <c r="M25" s="5"/>
    </row>
    <row r="26">
      <c r="A26" s="5">
        <f>IFERROR(__xludf.DUMMYFUNCTION("""COMPUTED_VALUE"""),1357.0)</f>
        <v>1357</v>
      </c>
      <c r="B26" s="5" t="str">
        <f>IFERROR(__xludf.DUMMYFUNCTION("""COMPUTED_VALUE"""),"[Anonymized]")</f>
        <v>[Anonymized]</v>
      </c>
      <c r="C26" s="5" t="str">
        <f>IFERROR(__xludf.DUMMYFUNCTION("""COMPUTED_VALUE"""),"[Anonymized]")</f>
        <v>[Anonymized]</v>
      </c>
      <c r="D26" s="5"/>
      <c r="E26" s="5"/>
      <c r="F26" s="5"/>
      <c r="G26" s="97">
        <f>IFERROR(__xludf.DUMMYFUNCTION("""COMPUTED_VALUE"""),44518.0)</f>
        <v>44518</v>
      </c>
      <c r="H26" s="5" t="str">
        <f>IFERROR(__xludf.DUMMYFUNCTION("""COMPUTED_VALUE"""),"[Anonymized]")</f>
        <v>[Anonymized]</v>
      </c>
      <c r="I26" s="5" t="str">
        <f>IFERROR(__xludf.DUMMYFUNCTION("""COMPUTED_VALUE"""),"[Anonymized]")</f>
        <v>[Anonymized]</v>
      </c>
      <c r="J26" s="5" t="str">
        <f>IFERROR(__xludf.DUMMYFUNCTION("""COMPUTED_VALUE"""),"Declined")</f>
        <v>Declined</v>
      </c>
      <c r="K26" s="5"/>
      <c r="L26" s="5"/>
      <c r="M26" s="5"/>
    </row>
    <row r="27">
      <c r="A27" s="5">
        <f>IFERROR(__xludf.DUMMYFUNCTION("""COMPUTED_VALUE"""),1359.0)</f>
        <v>1359</v>
      </c>
      <c r="B27" s="5" t="str">
        <f>IFERROR(__xludf.DUMMYFUNCTION("""COMPUTED_VALUE"""),"[Anonymized]")</f>
        <v>[Anonymized]</v>
      </c>
      <c r="C27" s="5" t="str">
        <f>IFERROR(__xludf.DUMMYFUNCTION("""COMPUTED_VALUE"""),"[Anonymized]")</f>
        <v>[Anonymized]</v>
      </c>
      <c r="D27" s="5"/>
      <c r="E27" s="5"/>
      <c r="F27" s="5"/>
      <c r="G27" s="97">
        <f>IFERROR(__xludf.DUMMYFUNCTION("""COMPUTED_VALUE"""),44519.0)</f>
        <v>44519</v>
      </c>
      <c r="H27" s="5" t="str">
        <f>IFERROR(__xludf.DUMMYFUNCTION("""COMPUTED_VALUE"""),"[Anonymized]")</f>
        <v>[Anonymized]</v>
      </c>
      <c r="I27" s="5" t="str">
        <f>IFERROR(__xludf.DUMMYFUNCTION("""COMPUTED_VALUE"""),"[Anonymized]")</f>
        <v>[Anonymized]</v>
      </c>
      <c r="J27" s="5" t="str">
        <f>IFERROR(__xludf.DUMMYFUNCTION("""COMPUTED_VALUE"""),"Declined")</f>
        <v>Declined</v>
      </c>
      <c r="K27" s="5"/>
      <c r="L27" s="5"/>
      <c r="M27" s="5"/>
    </row>
    <row r="28">
      <c r="A28" s="5">
        <f>IFERROR(__xludf.DUMMYFUNCTION("""COMPUTED_VALUE"""),1361.0)</f>
        <v>1361</v>
      </c>
      <c r="B28" s="5" t="str">
        <f>IFERROR(__xludf.DUMMYFUNCTION("""COMPUTED_VALUE"""),"[Anonymized]")</f>
        <v>[Anonymized]</v>
      </c>
      <c r="C28" s="5" t="str">
        <f>IFERROR(__xludf.DUMMYFUNCTION("""COMPUTED_VALUE"""),"[Anonymized]")</f>
        <v>[Anonymized]</v>
      </c>
      <c r="D28" s="5"/>
      <c r="E28" s="5"/>
      <c r="F28" s="5"/>
      <c r="G28" s="97">
        <f>IFERROR(__xludf.DUMMYFUNCTION("""COMPUTED_VALUE"""),44529.0)</f>
        <v>44529</v>
      </c>
      <c r="H28" s="5" t="str">
        <f>IFERROR(__xludf.DUMMYFUNCTION("""COMPUTED_VALUE"""),"[Anonymized]")</f>
        <v>[Anonymized]</v>
      </c>
      <c r="I28" s="5" t="str">
        <f>IFERROR(__xludf.DUMMYFUNCTION("""COMPUTED_VALUE"""),"[Anonymized]")</f>
        <v>[Anonymized]</v>
      </c>
      <c r="J28" s="5" t="str">
        <f>IFERROR(__xludf.DUMMYFUNCTION("""COMPUTED_VALUE"""),"Declined")</f>
        <v>Declined</v>
      </c>
      <c r="K28" s="5"/>
      <c r="L28" s="5"/>
      <c r="M28" s="5"/>
    </row>
    <row r="29">
      <c r="A29" s="5">
        <f>IFERROR(__xludf.DUMMYFUNCTION("""COMPUTED_VALUE"""),1379.0)</f>
        <v>1379</v>
      </c>
      <c r="B29" s="5" t="str">
        <f>IFERROR(__xludf.DUMMYFUNCTION("""COMPUTED_VALUE"""),"[Anonymized]")</f>
        <v>[Anonymized]</v>
      </c>
      <c r="C29" s="5" t="str">
        <f>IFERROR(__xludf.DUMMYFUNCTION("""COMPUTED_VALUE"""),"[Anonymized]")</f>
        <v>[Anonymized]</v>
      </c>
      <c r="D29" s="5" t="str">
        <f>IFERROR(__xludf.DUMMYFUNCTION("""COMPUTED_VALUE"""),"Research Article")</f>
        <v>Research Article</v>
      </c>
      <c r="E29" s="5"/>
      <c r="F29" s="5"/>
      <c r="G29" s="97">
        <f>IFERROR(__xludf.DUMMYFUNCTION("""COMPUTED_VALUE"""),44531.0)</f>
        <v>44531</v>
      </c>
      <c r="H29" s="5" t="str">
        <f>IFERROR(__xludf.DUMMYFUNCTION("""COMPUTED_VALUE"""),"[Anonymized]")</f>
        <v>[Anonymized]</v>
      </c>
      <c r="I29" s="5" t="str">
        <f>IFERROR(__xludf.DUMMYFUNCTION("""COMPUTED_VALUE"""),"[Anonymized]")</f>
        <v>[Anonymized]</v>
      </c>
      <c r="J29" s="5" t="str">
        <f>IFERROR(__xludf.DUMMYFUNCTION("""COMPUTED_VALUE"""),"Declined")</f>
        <v>Declined</v>
      </c>
      <c r="K29" s="5"/>
      <c r="L29" s="5"/>
      <c r="M29" s="5"/>
    </row>
    <row r="30">
      <c r="A30" s="5">
        <f>IFERROR(__xludf.DUMMYFUNCTION("""COMPUTED_VALUE"""),1453.0)</f>
        <v>1453</v>
      </c>
      <c r="B30" s="5" t="str">
        <f>IFERROR(__xludf.DUMMYFUNCTION("""COMPUTED_VALUE"""),"[Anonymized]")</f>
        <v>[Anonymized]</v>
      </c>
      <c r="C30" s="5" t="str">
        <f>IFERROR(__xludf.DUMMYFUNCTION("""COMPUTED_VALUE"""),"[Anonymized]")</f>
        <v>[Anonymized]</v>
      </c>
      <c r="D30" s="5" t="str">
        <f>IFERROR(__xludf.DUMMYFUNCTION("""COMPUTED_VALUE"""),"Research Article")</f>
        <v>Research Article</v>
      </c>
      <c r="E30" s="5"/>
      <c r="F30" s="5"/>
      <c r="G30" s="97">
        <f>IFERROR(__xludf.DUMMYFUNCTION("""COMPUTED_VALUE"""),44582.0)</f>
        <v>44582</v>
      </c>
      <c r="H30" s="5" t="str">
        <f>IFERROR(__xludf.DUMMYFUNCTION("""COMPUTED_VALUE"""),"[Anonymized]")</f>
        <v>[Anonymized]</v>
      </c>
      <c r="I30" s="5" t="str">
        <f>IFERROR(__xludf.DUMMYFUNCTION("""COMPUTED_VALUE"""),"[Anonymized]")</f>
        <v>[Anonymized]</v>
      </c>
      <c r="J30" s="5" t="str">
        <f>IFERROR(__xludf.DUMMYFUNCTION("""COMPUTED_VALUE"""),"Declined")</f>
        <v>Declined</v>
      </c>
      <c r="K30" s="5"/>
      <c r="L30" s="5"/>
      <c r="M30" s="5"/>
    </row>
    <row r="31">
      <c r="A31" s="5">
        <f>IFERROR(__xludf.DUMMYFUNCTION("""COMPUTED_VALUE"""),1459.0)</f>
        <v>1459</v>
      </c>
      <c r="B31" s="5" t="str">
        <f>IFERROR(__xludf.DUMMYFUNCTION("""COMPUTED_VALUE"""),"[Anonymized]")</f>
        <v>[Anonymized]</v>
      </c>
      <c r="C31" s="5" t="str">
        <f>IFERROR(__xludf.DUMMYFUNCTION("""COMPUTED_VALUE"""),"[Anonymized]")</f>
        <v>[Anonymized]</v>
      </c>
      <c r="D31" s="5" t="str">
        <f>IFERROR(__xludf.DUMMYFUNCTION("""COMPUTED_VALUE"""),"Research Article")</f>
        <v>Research Article</v>
      </c>
      <c r="E31" s="5"/>
      <c r="F31" s="5"/>
      <c r="G31" s="97">
        <f>IFERROR(__xludf.DUMMYFUNCTION("""COMPUTED_VALUE"""),44585.0)</f>
        <v>44585</v>
      </c>
      <c r="H31" s="5" t="str">
        <f>IFERROR(__xludf.DUMMYFUNCTION("""COMPUTED_VALUE"""),"[Anonymized]")</f>
        <v>[Anonymized]</v>
      </c>
      <c r="I31" s="5" t="str">
        <f>IFERROR(__xludf.DUMMYFUNCTION("""COMPUTED_VALUE"""),"[Anonymized]")</f>
        <v>[Anonymized]</v>
      </c>
      <c r="J31" s="5" t="str">
        <f>IFERROR(__xludf.DUMMYFUNCTION("""COMPUTED_VALUE"""),"Declined")</f>
        <v>Declined</v>
      </c>
      <c r="K31" s="5"/>
      <c r="L31" s="5"/>
      <c r="M31" s="5"/>
    </row>
    <row r="32">
      <c r="A32" s="5">
        <f>IFERROR(__xludf.DUMMYFUNCTION("""COMPUTED_VALUE"""),1483.0)</f>
        <v>1483</v>
      </c>
      <c r="B32" s="5" t="str">
        <f>IFERROR(__xludf.DUMMYFUNCTION("""COMPUTED_VALUE"""),"[Anonymized]")</f>
        <v>[Anonymized]</v>
      </c>
      <c r="C32" s="5" t="str">
        <f>IFERROR(__xludf.DUMMYFUNCTION("""COMPUTED_VALUE"""),"[Anonymized]")</f>
        <v>[Anonymized]</v>
      </c>
      <c r="D32" s="5" t="str">
        <f>IFERROR(__xludf.DUMMYFUNCTION("""COMPUTED_VALUE"""),"Research Article")</f>
        <v>Research Article</v>
      </c>
      <c r="E32" s="5"/>
      <c r="F32" s="5"/>
      <c r="G32" s="97">
        <f>IFERROR(__xludf.DUMMYFUNCTION("""COMPUTED_VALUE"""),44598.0)</f>
        <v>44598</v>
      </c>
      <c r="H32" s="5" t="str">
        <f>IFERROR(__xludf.DUMMYFUNCTION("""COMPUTED_VALUE"""),"[Anonymized]")</f>
        <v>[Anonymized]</v>
      </c>
      <c r="I32" s="5" t="str">
        <f>IFERROR(__xludf.DUMMYFUNCTION("""COMPUTED_VALUE"""),"[Anonymized]")</f>
        <v>[Anonymized]</v>
      </c>
      <c r="J32" s="5" t="str">
        <f>IFERROR(__xludf.DUMMYFUNCTION("""COMPUTED_VALUE"""),"Declined")</f>
        <v>Declined</v>
      </c>
      <c r="K32" s="5"/>
      <c r="L32" s="5"/>
      <c r="M32" s="5"/>
    </row>
    <row r="33">
      <c r="A33" s="5">
        <f>IFERROR(__xludf.DUMMYFUNCTION("""COMPUTED_VALUE"""),1497.0)</f>
        <v>1497</v>
      </c>
      <c r="B33" s="5" t="str">
        <f>IFERROR(__xludf.DUMMYFUNCTION("""COMPUTED_VALUE"""),"[Anonymized]")</f>
        <v>[Anonymized]</v>
      </c>
      <c r="C33" s="5" t="str">
        <f>IFERROR(__xludf.DUMMYFUNCTION("""COMPUTED_VALUE"""),"[Anonymized]")</f>
        <v>[Anonymized]</v>
      </c>
      <c r="D33" s="5" t="str">
        <f>IFERROR(__xludf.DUMMYFUNCTION("""COMPUTED_VALUE"""),"Thematic Collection")</f>
        <v>Thematic Collection</v>
      </c>
      <c r="E33" s="5"/>
      <c r="F33" s="5" t="str">
        <f>IFERROR(__xludf.DUMMYFUNCTION("""COMPUTED_VALUE"""),"Microbes and STS")</f>
        <v>Microbes and STS</v>
      </c>
      <c r="G33" s="97">
        <f>IFERROR(__xludf.DUMMYFUNCTION("""COMPUTED_VALUE"""),44608.0)</f>
        <v>44608</v>
      </c>
      <c r="H33" s="5" t="str">
        <f>IFERROR(__xludf.DUMMYFUNCTION("""COMPUTED_VALUE"""),"[Anonymized]")</f>
        <v>[Anonymized]</v>
      </c>
      <c r="I33" s="5" t="str">
        <f>IFERROR(__xludf.DUMMYFUNCTION("""COMPUTED_VALUE"""),"[Anonymized]")</f>
        <v>[Anonymized]</v>
      </c>
      <c r="J33" s="5" t="str">
        <f>IFERROR(__xludf.DUMMYFUNCTION("""COMPUTED_VALUE"""),"Declined")</f>
        <v>Declined</v>
      </c>
      <c r="K33" s="5"/>
      <c r="L33" s="5"/>
      <c r="M33" s="5"/>
    </row>
    <row r="34">
      <c r="A34" s="5">
        <f>IFERROR(__xludf.DUMMYFUNCTION("""COMPUTED_VALUE"""),1511.0)</f>
        <v>1511</v>
      </c>
      <c r="B34" s="5" t="str">
        <f>IFERROR(__xludf.DUMMYFUNCTION("""COMPUTED_VALUE"""),"[Anonymized]")</f>
        <v>[Anonymized]</v>
      </c>
      <c r="C34" s="5" t="str">
        <f>IFERROR(__xludf.DUMMYFUNCTION("""COMPUTED_VALUE"""),"[Anonymized]")</f>
        <v>[Anonymized]</v>
      </c>
      <c r="D34" s="5" t="str">
        <f>IFERROR(__xludf.DUMMYFUNCTION("""COMPUTED_VALUE"""),"Thematic Collection")</f>
        <v>Thematic Collection</v>
      </c>
      <c r="E34" s="5"/>
      <c r="F34" s="5" t="str">
        <f>IFERROR(__xludf.DUMMYFUNCTION("""COMPUTED_VALUE"""),"Microbes and STS")</f>
        <v>Microbes and STS</v>
      </c>
      <c r="G34" s="98">
        <f>IFERROR(__xludf.DUMMYFUNCTION("""COMPUTED_VALUE"""),44610.0)</f>
        <v>44610</v>
      </c>
      <c r="H34" s="5" t="str">
        <f>IFERROR(__xludf.DUMMYFUNCTION("""COMPUTED_VALUE"""),"[Anonymized]")</f>
        <v>[Anonymized]</v>
      </c>
      <c r="I34" s="5" t="str">
        <f>IFERROR(__xludf.DUMMYFUNCTION("""COMPUTED_VALUE"""),"[Anonymized]")</f>
        <v>[Anonymized]</v>
      </c>
      <c r="J34" s="5" t="str">
        <f>IFERROR(__xludf.DUMMYFUNCTION("""COMPUTED_VALUE"""),"Declined")</f>
        <v>Declined</v>
      </c>
      <c r="K34" s="5"/>
      <c r="L34" s="5"/>
      <c r="M34" s="5"/>
    </row>
    <row r="35">
      <c r="A35" s="5">
        <f>IFERROR(__xludf.DUMMYFUNCTION("""COMPUTED_VALUE"""),1489.0)</f>
        <v>1489</v>
      </c>
      <c r="B35" s="5" t="str">
        <f>IFERROR(__xludf.DUMMYFUNCTION("""COMPUTED_VALUE"""),"[Anonymized]")</f>
        <v>[Anonymized]</v>
      </c>
      <c r="C35" s="5" t="str">
        <f>IFERROR(__xludf.DUMMYFUNCTION("""COMPUTED_VALUE"""),"[Anonymized]")</f>
        <v>[Anonymized]</v>
      </c>
      <c r="D35" s="5" t="str">
        <f>IFERROR(__xludf.DUMMYFUNCTION("""COMPUTED_VALUE"""),"Research Article")</f>
        <v>Research Article</v>
      </c>
      <c r="E35" s="5"/>
      <c r="F35" s="5"/>
      <c r="G35" s="98">
        <f>IFERROR(__xludf.DUMMYFUNCTION("""COMPUTED_VALUE"""),44617.0)</f>
        <v>44617</v>
      </c>
      <c r="H35" s="5" t="str">
        <f>IFERROR(__xludf.DUMMYFUNCTION("""COMPUTED_VALUE"""),"[Anonymized]")</f>
        <v>[Anonymized]</v>
      </c>
      <c r="I35" s="5" t="str">
        <f>IFERROR(__xludf.DUMMYFUNCTION("""COMPUTED_VALUE"""),"[Anonymized]")</f>
        <v>[Anonymized]</v>
      </c>
      <c r="J35" s="5" t="str">
        <f>IFERROR(__xludf.DUMMYFUNCTION("""COMPUTED_VALUE"""),"Declined")</f>
        <v>Declined</v>
      </c>
      <c r="K35" s="5"/>
      <c r="L35" s="5"/>
      <c r="M35" s="5"/>
    </row>
    <row r="36">
      <c r="A36" s="5">
        <f>IFERROR(__xludf.DUMMYFUNCTION("""COMPUTED_VALUE"""),1533.0)</f>
        <v>1533</v>
      </c>
      <c r="B36" s="5" t="str">
        <f>IFERROR(__xludf.DUMMYFUNCTION("""COMPUTED_VALUE"""),"[Anonymized]")</f>
        <v>[Anonymized]</v>
      </c>
      <c r="C36" s="5" t="str">
        <f>IFERROR(__xludf.DUMMYFUNCTION("""COMPUTED_VALUE"""),"[Anonymized]")</f>
        <v>[Anonymized]</v>
      </c>
      <c r="D36" s="5" t="str">
        <f>IFERROR(__xludf.DUMMYFUNCTION("""COMPUTED_VALUE"""),"Perspectives")</f>
        <v>Perspectives</v>
      </c>
      <c r="E36" s="5"/>
      <c r="F36" s="5"/>
      <c r="G36" s="98">
        <f>IFERROR(__xludf.DUMMYFUNCTION("""COMPUTED_VALUE"""),44620.0)</f>
        <v>44620</v>
      </c>
      <c r="H36" s="5" t="str">
        <f>IFERROR(__xludf.DUMMYFUNCTION("""COMPUTED_VALUE"""),"[Anonymized]")</f>
        <v>[Anonymized]</v>
      </c>
      <c r="I36" s="5" t="str">
        <f>IFERROR(__xludf.DUMMYFUNCTION("""COMPUTED_VALUE"""),"[Anonymized]")</f>
        <v>[Anonymized]</v>
      </c>
      <c r="J36" s="5" t="str">
        <f>IFERROR(__xludf.DUMMYFUNCTION("""COMPUTED_VALUE"""),"Declined")</f>
        <v>Declined</v>
      </c>
      <c r="K36" s="5"/>
      <c r="L36" s="5"/>
      <c r="M36" s="5"/>
    </row>
    <row r="37">
      <c r="A37" s="5">
        <f>IFERROR(__xludf.DUMMYFUNCTION("""COMPUTED_VALUE"""),1643.0)</f>
        <v>1643</v>
      </c>
      <c r="B37" s="5" t="str">
        <f>IFERROR(__xludf.DUMMYFUNCTION("""COMPUTED_VALUE"""),"[Anonymized]")</f>
        <v>[Anonymized]</v>
      </c>
      <c r="C37" s="5" t="str">
        <f>IFERROR(__xludf.DUMMYFUNCTION("""COMPUTED_VALUE"""),"[Anonymized]")</f>
        <v>[Anonymized]</v>
      </c>
      <c r="D37" s="5" t="str">
        <f>IFERROR(__xludf.DUMMYFUNCTION("""COMPUTED_VALUE"""),"Engagements")</f>
        <v>Engagements</v>
      </c>
      <c r="E37" s="5"/>
      <c r="F37" s="5"/>
      <c r="G37" s="100">
        <f>IFERROR(__xludf.DUMMYFUNCTION("""COMPUTED_VALUE"""),44686.0)</f>
        <v>44686</v>
      </c>
      <c r="H37" s="5" t="str">
        <f>IFERROR(__xludf.DUMMYFUNCTION("""COMPUTED_VALUE"""),"[Anonymized]")</f>
        <v>[Anonymized]</v>
      </c>
      <c r="I37" s="5" t="str">
        <f>IFERROR(__xludf.DUMMYFUNCTION("""COMPUTED_VALUE"""),"[Anonymized]")</f>
        <v>[Anonymized]</v>
      </c>
      <c r="J37" s="5" t="str">
        <f>IFERROR(__xludf.DUMMYFUNCTION("""COMPUTED_VALUE"""),"Declined")</f>
        <v>Declined</v>
      </c>
      <c r="K37" s="5"/>
      <c r="L37" s="5"/>
      <c r="M37" s="5"/>
    </row>
    <row r="38">
      <c r="A38" s="5">
        <f>IFERROR(__xludf.DUMMYFUNCTION("""COMPUTED_VALUE"""),1665.0)</f>
        <v>1665</v>
      </c>
      <c r="B38" s="5" t="str">
        <f>IFERROR(__xludf.DUMMYFUNCTION("""COMPUTED_VALUE"""),"[Anonymized]")</f>
        <v>[Anonymized]</v>
      </c>
      <c r="C38" s="5" t="str">
        <f>IFERROR(__xludf.DUMMYFUNCTION("""COMPUTED_VALUE"""),"[Anonymized]")</f>
        <v>[Anonymized]</v>
      </c>
      <c r="D38" s="5" t="str">
        <f>IFERROR(__xludf.DUMMYFUNCTION("""COMPUTED_VALUE"""),"Engagements")</f>
        <v>Engagements</v>
      </c>
      <c r="E38" s="5"/>
      <c r="F38" s="5"/>
      <c r="G38" s="101">
        <f>IFERROR(__xludf.DUMMYFUNCTION("""COMPUTED_VALUE"""),44703.0)</f>
        <v>44703</v>
      </c>
      <c r="H38" s="5" t="str">
        <f>IFERROR(__xludf.DUMMYFUNCTION("""COMPUTED_VALUE"""),"[Anonymized]")</f>
        <v>[Anonymized]</v>
      </c>
      <c r="I38" s="5" t="str">
        <f>IFERROR(__xludf.DUMMYFUNCTION("""COMPUTED_VALUE"""),"[Anonymized]")</f>
        <v>[Anonymized]</v>
      </c>
      <c r="J38" s="5" t="str">
        <f>IFERROR(__xludf.DUMMYFUNCTION("""COMPUTED_VALUE"""),"Declined")</f>
        <v>Declined</v>
      </c>
      <c r="K38" s="5"/>
      <c r="L38" s="5"/>
      <c r="M38" s="5"/>
    </row>
  </sheetData>
  <drawing r:id="rId1"/>
</worksheet>
</file>